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INPUTS" sheetId="2" state="visible" r:id="rId4"/>
    <sheet name="RESULT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<sst xmlns="http://schemas.openxmlformats.org/spreadsheetml/2006/main" count="130" uniqueCount="117">
  <si>
    <t xml:space="preserve">SMT Line Capacity Planner</t>
  </si>
  <si>
    <t xml:space="preserve">smtcalc.com  |  Free tool for SMT professionals</t>
  </si>
  <si>
    <t xml:space="preserve">About this workbook</t>
  </si>
  <si>
    <t xml:space="preserve">Calculates SMT line capacity using a utilisation-based model.</t>
  </si>
  <si>
    <t xml:space="preserve">Each product has its own panelization, component count, double-sided flag,</t>
  </si>
  <si>
    <t xml:space="preserve">and panel length. Required hours per product are summed against net</t>
  </si>
  <si>
    <t xml:space="preserve">available hours to give total line utilisation.</t>
  </si>
  <si>
    <t xml:space="preserve">All blue cells are user inputs. Do not edit grey formula cells.</t>
  </si>
  <si>
    <t xml:space="preserve">Start on the INPUTS sheet. Results appear on the RESULTS sheet.</t>
  </si>
  <si>
    <t xml:space="preserve">Sheet</t>
  </si>
  <si>
    <t xml:space="preserve">Purpose</t>
  </si>
  <si>
    <t xml:space="preserve">INPUTS</t>
  </si>
  <si>
    <t xml:space="preserve">Machine table, oven, changeover, shift model, per-product panelization</t>
  </si>
  <si>
    <t xml:space="preserve">RESULTS</t>
  </si>
  <si>
    <t xml:space="preserve">Per-product throughput, required hours, utilisation, line status verdict</t>
  </si>
  <si>
    <t xml:space="preserve">Cover</t>
  </si>
  <si>
    <t xml:space="preserve">This page</t>
  </si>
  <si>
    <t xml:space="preserve">Version 4.0  |  smtcalc.com  |  2026</t>
  </si>
  <si>
    <t xml:space="preserve">SMT Line Capacity Planner — Inputs</t>
  </si>
  <si>
    <t xml:space="preserve">Fill in all blue cells. Do not edit grey cells. Results are on the RESULTS sheet.</t>
  </si>
  <si>
    <t xml:space="preserve">1  —  PICK-AND-PLACE MACHINES  (up to 5 machines)</t>
  </si>
  <si>
    <t xml:space="preserve">Machine Name</t>
  </si>
  <si>
    <t xml:space="preserve">Nameplate CPH</t>
  </si>
  <si>
    <t xml:space="preserve">OEE Performance %</t>
  </si>
  <si>
    <t xml:space="preserve">Placement Share %</t>
  </si>
  <si>
    <t xml:space="preserve">Notes / Role</t>
  </si>
  <si>
    <t xml:space="preserve">Chip Shooter</t>
  </si>
  <si>
    <t xml:space="preserve">Fast placer — passives, small chips</t>
  </si>
  <si>
    <t xml:space="preserve">Flexible Placer</t>
  </si>
  <si>
    <t xml:space="preserve">Slow placer — ICs, connectors, odd-form</t>
  </si>
  <si>
    <t xml:space="preserve">Placement Share Total</t>
  </si>
  <si>
    <t xml:space="preserve">OEE — Availability (line-level)</t>
  </si>
  <si>
    <t xml:space="preserve">%</t>
  </si>
  <si>
    <t xml:space="preserve">Planned uptime / available time. Breakdowns, PM. Typical 75-90%. Changeover is in section 3.</t>
  </si>
  <si>
    <t xml:space="preserve">OEE — Quality / FPY (line-level)</t>
  </si>
  <si>
    <t xml:space="preserve">First-pass yield. Boards passing without rework. Typical 95-99%.</t>
  </si>
  <si>
    <t xml:space="preserve">2  —  REFLOW OVEN  (line-level — panel length is per product in section 5)</t>
  </si>
  <si>
    <t xml:space="preserve">Oven Heated Tunnel Length</t>
  </si>
  <si>
    <t xml:space="preserve">cm</t>
  </si>
  <si>
    <t xml:space="preserve">Heated length only. 5-zone ~180 cm, 7-zone ~250 cm, 10-zone ~360 cm.</t>
  </si>
  <si>
    <t xml:space="preserve">Required Dwell Time</t>
  </si>
  <si>
    <t xml:space="preserve">seconds</t>
  </si>
  <si>
    <t xml:space="preserve">Total time inside heated tunnel from paste datasheet. Typical SAC305: 240-300 s.</t>
  </si>
  <si>
    <t xml:space="preserve">Oven Load Factor</t>
  </si>
  <si>
    <t xml:space="preserve">Belt fill efficiency. 90% = 10% gap between panels. Below 85% risks entry collisions.</t>
  </si>
  <si>
    <t xml:space="preserve">3  —  CHANGEOVER &amp; PLANNED STOPS</t>
  </si>
  <si>
    <t xml:space="preserve">Full Changeovers per Week</t>
  </si>
  <si>
    <t xml:space="preserve">count</t>
  </si>
  <si>
    <t xml:space="preserve">Complete product changeovers per week: new stencil, full feeder swap, first article.</t>
  </si>
  <si>
    <t xml:space="preserve">Full Changeover Duration</t>
  </si>
  <si>
    <t xml:space="preserve">minutes</t>
  </si>
  <si>
    <t xml:space="preserve">Average duration of one full changeover. Realistic range: 45-240 min.</t>
  </si>
  <si>
    <t xml:space="preserve">Minor Stops Buffer per Shift</t>
  </si>
  <si>
    <t xml:space="preserve">minutes/shift</t>
  </si>
  <si>
    <t xml:space="preserve">Feeder reloads, paste top-up, stencil wipe cycles. Default 20 min/shift.</t>
  </si>
  <si>
    <t xml:space="preserve">4  —  SHIFT MODEL</t>
  </si>
  <si>
    <t xml:space="preserve">Shifts per Day</t>
  </si>
  <si>
    <t xml:space="preserve">shifts</t>
  </si>
  <si>
    <t xml:space="preserve">1 = 8 h/day,  2 = 16 h/day,  3 = 24 h/day.</t>
  </si>
  <si>
    <t xml:space="preserve">Hours per Shift</t>
  </si>
  <si>
    <t xml:space="preserve">hours</t>
  </si>
  <si>
    <t xml:space="preserve">Net shift length. Usually 8 h.</t>
  </si>
  <si>
    <t xml:space="preserve">Working Days / Week</t>
  </si>
  <si>
    <t xml:space="preserve">days</t>
  </si>
  <si>
    <t xml:space="preserve">Production days per week. Typically 5.</t>
  </si>
  <si>
    <t xml:space="preserve">Working Weeks / Year</t>
  </si>
  <si>
    <t xml:space="preserve">weeks</t>
  </si>
  <si>
    <t xml:space="preserve">Production weeks per year. Typically 50.</t>
  </si>
  <si>
    <t xml:space="preserve">5  —  PRODUCT MIX  (up to 8 products — panelization and panel length are per product)</t>
  </si>
  <si>
    <t xml:space="preserve">Product Name</t>
  </si>
  <si>
    <t xml:space="preserve">Annual Volume
(PCBs)</t>
  </si>
  <si>
    <t xml:space="preserve">Price / PCB
(EUR)</t>
  </si>
  <si>
    <t xml:space="preserve">PCBs
per Panel</t>
  </si>
  <si>
    <t xml:space="preserve">Components
per PCB</t>
  </si>
  <si>
    <t xml:space="preserve">Double-
sided
0=No 1=Yes</t>
  </si>
  <si>
    <t xml:space="preserve">Panel Length
(cm, conveyor
direction)</t>
  </si>
  <si>
    <t xml:space="preserve">Notes</t>
  </si>
  <si>
    <t xml:space="preserve">Product A</t>
  </si>
  <si>
    <t xml:space="preserve">Product B</t>
  </si>
  <si>
    <t xml:space="preserve">2x3 panel</t>
  </si>
  <si>
    <t xml:space="preserve">INPUT LEGEND</t>
  </si>
  <si>
    <t xml:space="preserve">Blue cell</t>
  </si>
  <si>
    <t xml:space="preserve">User input — change these values</t>
  </si>
  <si>
    <t xml:space="preserve">Grey cell</t>
  </si>
  <si>
    <t xml:space="preserve">Calculated formula — do not edit</t>
  </si>
  <si>
    <t xml:space="preserve">Share total (E12)</t>
  </si>
  <si>
    <t xml:space="preserve">Placement shares across all machines must sum to exactly 100%</t>
  </si>
  <si>
    <t xml:space="preserve">SMT Line Capacity Planner — Results</t>
  </si>
  <si>
    <t xml:space="preserve">All values calculated from INPUTS sheet. Change inputs there and results update automatically.</t>
  </si>
  <si>
    <t xml:space="preserve">A  —  PICK-AND-PLACE MACHINES</t>
  </si>
  <si>
    <t xml:space="preserve">Machine</t>
  </si>
  <si>
    <t xml:space="preserve">Effective CPH</t>
  </si>
  <si>
    <t xml:space="preserve">B  —  CHANGEOVER &amp; AVAILABLE HOURS</t>
  </si>
  <si>
    <t xml:space="preserve">Gross Available Hours / Week</t>
  </si>
  <si>
    <t xml:space="preserve">h/week</t>
  </si>
  <si>
    <t xml:space="preserve">Full Changeover Loss / Week</t>
  </si>
  <si>
    <t xml:space="preserve">Minor Stops Loss / Week</t>
  </si>
  <si>
    <t xml:space="preserve">Net Productive Hours / Week</t>
  </si>
  <si>
    <t xml:space="preserve">Net Productive Hours / Year</t>
  </si>
  <si>
    <t xml:space="preserve">h/year</t>
  </si>
  <si>
    <t xml:space="preserve">C  —  PER-PRODUCT CAPACITY ANALYSIS</t>
  </si>
  <si>
    <t xml:space="preserve">Product</t>
  </si>
  <si>
    <t xml:space="preserve">Annual
Volume
(PCBs)</t>
  </si>
  <si>
    <t xml:space="preserve">Placer CT
(s/panel)</t>
  </si>
  <si>
    <t xml:space="preserve">Oven CT
(s/panel)</t>
  </si>
  <si>
    <t xml:space="preserve">Bottleneck</t>
  </si>
  <si>
    <t xml:space="preserve">Net PCBs/h</t>
  </si>
  <si>
    <t xml:space="preserve">Required
Hours/Year</t>
  </si>
  <si>
    <t xml:space="preserve">% of Net
Capacity</t>
  </si>
  <si>
    <t xml:space="preserve">TOTAL</t>
  </si>
  <si>
    <t xml:space="preserve">D  —  NET CAPACITY SUMMARY</t>
  </si>
  <si>
    <t xml:space="preserve">Total Required Hours / Year</t>
  </si>
  <si>
    <t xml:space="preserve">Available Headroom</t>
  </si>
  <si>
    <t xml:space="preserve">Total Line Utilisation</t>
  </si>
  <si>
    <t xml:space="preserve">E  —  LINE STATUS VERDICT</t>
  </si>
  <si>
    <t xml:space="preserve">Thresholds: &lt;= 70% = Feasible  |  71-85% = High Load  |  &gt; 85% = Overloaded</t>
  </si>
  <si>
    <t xml:space="preserve">Generated by SMT Line Capacity Planner v4.0  |  smtcalc.com  |  Free tool for SMT professionals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</si>
</sst>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0"/>
    <numFmt numFmtId="167" formatCode="#,##0.00"/>
    <numFmt numFmtId="168" formatCode="0.0"/>
    <numFmt numFmtId="169" formatCode="0\%"/>
    <numFmt numFmtId="170" formatCode="#,##0.0"/>
    <numFmt numFmtId="171" formatCode="0.0%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C07C0A"/>
      <name val="Arial"/>
      <family val="0"/>
      <charset val="1"/>
    </font>
    <font>
      <sz val="10"/>
      <color rgb="FF6B6560"/>
      <name val="Arial"/>
      <family val="0"/>
      <charset val="1"/>
    </font>
    <font>
      <b val="true"/>
      <sz val="12"/>
      <color rgb="FF1A1815"/>
      <name val="Arial"/>
      <family val="0"/>
      <charset val="1"/>
    </font>
    <font>
      <sz val="10"/>
      <color rgb="FF1A181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55A4"/>
      <name val="Arial"/>
      <family val="0"/>
      <charset val="1"/>
    </font>
    <font>
      <i val="true"/>
      <sz val="9"/>
      <color rgb="FF6B6560"/>
      <name val="Arial"/>
      <family val="0"/>
      <charset val="1"/>
    </font>
    <font>
      <b val="true"/>
      <sz val="18"/>
      <color rgb="FFC07C0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55A4"/>
      <name val="Arial"/>
      <family val="0"/>
      <charset val="1"/>
    </font>
    <font>
      <b val="true"/>
      <sz val="9"/>
      <color rgb="FF1A1815"/>
      <name val="Arial"/>
      <family val="0"/>
      <charset val="1"/>
    </font>
    <font>
      <b val="true"/>
      <sz val="11"/>
      <color rgb="FF1A1815"/>
      <name val="Arial"/>
      <family val="0"/>
      <charset val="1"/>
    </font>
    <font>
      <b val="true"/>
      <sz val="11"/>
      <color rgb="FF0055A4"/>
      <name val="Arial"/>
      <family val="0"/>
      <charset val="1"/>
    </font>
    <font>
      <b val="true"/>
      <sz val="9"/>
      <color rgb="FF0055A4"/>
      <name val="Arial"/>
      <family val="0"/>
      <charset val="1"/>
    </font>
    <font>
      <sz val="9"/>
      <color rgb="FF1A1815"/>
      <name val="Arial"/>
      <family val="0"/>
      <charset val="1"/>
    </font>
    <font>
      <b val="true"/>
      <sz val="10"/>
      <color rgb="FF1A1815"/>
      <name val="Arial"/>
      <family val="0"/>
      <charset val="1"/>
    </font>
    <font>
      <b val="true"/>
      <sz val="16"/>
      <color rgb="FF1A8C4E"/>
      <name val="Arial"/>
      <family val="0"/>
      <charset val="1"/>
    </font>
    <font>
      <b val="true"/>
      <sz val="13"/>
      <color rgb="FFFFFFFF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C07C0A"/>
        <bgColor rgb="FFFF6600"/>
      </patternFill>
    </fill>
    <fill>
      <patternFill patternType="solid">
        <fgColor rgb="FF1A1815"/>
        <bgColor rgb="FF000000"/>
      </patternFill>
    </fill>
    <fill>
      <patternFill patternType="solid">
        <fgColor rgb="FFF7F5F2"/>
        <bgColor rgb="FFF0EDE8"/>
      </patternFill>
    </fill>
    <fill>
      <patternFill patternType="solid">
        <fgColor rgb="FFF0EDE8"/>
        <bgColor rgb="FFF7F5F2"/>
      </patternFill>
    </fill>
    <fill>
      <patternFill patternType="solid">
        <fgColor rgb="FF6B6560"/>
        <bgColor rgb="FF808080"/>
      </patternFill>
    </fill>
    <fill>
      <patternFill patternType="solid">
        <fgColor rgb="FFE8F0FB"/>
        <bgColor rgb="FFF0EDE8"/>
      </patternFill>
    </fill>
    <fill>
      <patternFill patternType="solid">
        <fgColor rgb="FFD4EDDA"/>
        <bgColor rgb="FFE8F0FB"/>
      </patternFill>
    </fill>
    <fill>
      <patternFill patternType="solid">
        <fgColor rgb="FFFAD4C0"/>
        <bgColor rgb="FFFDE9C0"/>
      </patternFill>
    </fill>
    <fill>
      <patternFill patternType="solid">
        <fgColor rgb="FF1A8C4E"/>
        <bgColor rgb="FF008080"/>
      </patternFill>
    </fill>
    <fill>
      <patternFill patternType="solid">
        <fgColor rgb="FFFDE9C0"/>
        <bgColor rgb="FFF0EDE8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C07C0A"/>
      <rgbColor rgb="FF800080"/>
      <rgbColor rgb="FF008080"/>
      <rgbColor rgb="FFC0C0C0"/>
      <rgbColor rgb="FF808080"/>
      <rgbColor rgb="FF9999FF"/>
      <rgbColor rgb="FF993366"/>
      <rgbColor rgb="FFF7F5F2"/>
      <rgbColor rgb="FFE8F0FB"/>
      <rgbColor rgb="FF660066"/>
      <rgbColor rgb="FFFF8080"/>
      <rgbColor rgb="FF0055A4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EDE8"/>
      <rgbColor rgb="FFD4EDDA"/>
      <rgbColor rgb="FFFDE9C0"/>
      <rgbColor rgb="FF99CCFF"/>
      <rgbColor rgb="FFFF99CC"/>
      <rgbColor rgb="FFCC99FF"/>
      <rgbColor rgb="FFFAD4C0"/>
      <rgbColor rgb="FF3366FF"/>
      <rgbColor rgb="FF33CCCC"/>
      <rgbColor rgb="FF99CC00"/>
      <rgbColor rgb="FFFFCC00"/>
      <rgbColor rgb="FFFF9900"/>
      <rgbColor rgb="FFFF6600"/>
      <rgbColor rgb="FF6B6560"/>
      <rgbColor rgb="FF969696"/>
      <rgbColor rgb="FF003366"/>
      <rgbColor rgb="FF1A8C4E"/>
      <rgbColor rgb="FF003300"/>
      <rgbColor rgb="FF1A1815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6560"/>
    <pageSetUpPr fitToPage="false"/>
  </sheetPr>
  <dimension ref="B2:D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3" min="3" style="1" width="52"/>
    <col collapsed="false" customWidth="true" hidden="false" outlineLevel="0" max="4" min="4" style="1" width="20"/>
  </cols>
  <sheetData>
    <row r="2" customFormat="false" ht="36" hidden="false" customHeight="true" outlineLevel="0" collapsed="false">
      <c r="B2" s="2" t="s">
        <v>0</v>
      </c>
      <c r="C2" s="2"/>
      <c r="D2" s="2"/>
    </row>
    <row r="3" customFormat="false" ht="15.75" hidden="false" customHeight="true" outlineLevel="0" collapsed="false">
      <c r="B3" s="3" t="s">
        <v>1</v>
      </c>
      <c r="C3" s="3"/>
      <c r="D3" s="3"/>
    </row>
    <row r="4" customFormat="false" ht="3" hidden="false" customHeight="true" outlineLevel="0" collapsed="false">
      <c r="B4" s="4"/>
      <c r="C4" s="4"/>
      <c r="D4" s="4"/>
    </row>
    <row r="6" customFormat="false" ht="15" hidden="false" customHeight="true" outlineLevel="0" collapsed="false">
      <c r="B6" s="5" t="s">
        <v>2</v>
      </c>
      <c r="C6" s="5"/>
      <c r="D6" s="5"/>
    </row>
    <row r="8" customFormat="false" ht="13.5" hidden="false" customHeight="true" outlineLevel="0" collapsed="false">
      <c r="B8" s="6" t="s">
        <v>3</v>
      </c>
      <c r="C8" s="6"/>
      <c r="D8" s="6"/>
    </row>
    <row r="9" customFormat="false" ht="13.5" hidden="false" customHeight="true" outlineLevel="0" collapsed="false">
      <c r="B9" s="6" t="s">
        <v>4</v>
      </c>
      <c r="C9" s="6"/>
      <c r="D9" s="6"/>
    </row>
    <row r="10" customFormat="false" ht="13.5" hidden="false" customHeight="true" outlineLevel="0" collapsed="false">
      <c r="B10" s="6" t="s">
        <v>5</v>
      </c>
      <c r="C10" s="6"/>
      <c r="D10" s="6"/>
    </row>
    <row r="11" customFormat="false" ht="13.5" hidden="false" customHeight="true" outlineLevel="0" collapsed="false">
      <c r="B11" s="6" t="s">
        <v>6</v>
      </c>
      <c r="C11" s="6"/>
      <c r="D11" s="6"/>
    </row>
    <row r="12" customFormat="false" ht="13.5" hidden="false" customHeight="true" outlineLevel="0" collapsed="false">
      <c r="B12" s="6"/>
      <c r="C12" s="6"/>
      <c r="D12" s="6"/>
    </row>
    <row r="13" customFormat="false" ht="13.5" hidden="false" customHeight="true" outlineLevel="0" collapsed="false">
      <c r="B13" s="6" t="s">
        <v>7</v>
      </c>
      <c r="C13" s="6"/>
      <c r="D13" s="6"/>
    </row>
    <row r="14" customFormat="false" ht="13.5" hidden="false" customHeight="true" outlineLevel="0" collapsed="false">
      <c r="B14" s="6" t="s">
        <v>8</v>
      </c>
      <c r="C14" s="6"/>
      <c r="D14" s="6"/>
    </row>
    <row r="16" customFormat="false" ht="6" hidden="false" customHeight="true" outlineLevel="0" collapsed="false"/>
    <row r="17" customFormat="false" ht="15.75" hidden="false" customHeight="true" outlineLevel="0" collapsed="false">
      <c r="B17" s="7" t="s">
        <v>9</v>
      </c>
      <c r="C17" s="7" t="s">
        <v>10</v>
      </c>
      <c r="D17" s="7"/>
    </row>
    <row r="18" customFormat="false" ht="18" hidden="false" customHeight="true" outlineLevel="0" collapsed="false">
      <c r="B18" s="8" t="s">
        <v>11</v>
      </c>
      <c r="C18" s="9" t="s">
        <v>12</v>
      </c>
      <c r="D18" s="9"/>
    </row>
    <row r="19" customFormat="false" ht="18" hidden="false" customHeight="true" outlineLevel="0" collapsed="false">
      <c r="B19" s="10" t="s">
        <v>13</v>
      </c>
      <c r="C19" s="11" t="s">
        <v>14</v>
      </c>
      <c r="D19" s="11"/>
    </row>
    <row r="20" customFormat="false" ht="18" hidden="false" customHeight="true" outlineLevel="0" collapsed="false">
      <c r="B20" s="8" t="s">
        <v>15</v>
      </c>
      <c r="C20" s="9" t="s">
        <v>16</v>
      </c>
      <c r="D20" s="9"/>
    </row>
    <row r="22" customFormat="false" ht="13.5" hidden="false" customHeight="true" outlineLevel="0" collapsed="false">
      <c r="B22" s="12" t="s">
        <v>17</v>
      </c>
      <c r="C22" s="12"/>
      <c r="D22" s="12"/>
    </row>
  </sheetData>
  <mergeCells count="15">
    <mergeCell ref="B2:D2"/>
    <mergeCell ref="B3:D3"/>
    <mergeCell ref="B6:D6"/>
    <mergeCell ref="B8:D8"/>
    <mergeCell ref="B9:D9"/>
    <mergeCell ref="B10:D10"/>
    <mergeCell ref="B11:D11"/>
    <mergeCell ref="B12:D12"/>
    <mergeCell ref="B13:D13"/>
    <mergeCell ref="B14:D14"/>
    <mergeCell ref="C17:D17"/>
    <mergeCell ref="C18:D18"/>
    <mergeCell ref="C19:D19"/>
    <mergeCell ref="C20:D20"/>
    <mergeCell ref="B22:D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55A4"/>
    <pageSetUpPr fitToPage="false"/>
  </sheetPr>
  <dimension ref="B1:I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6"/>
    <col collapsed="false" customWidth="true" hidden="false" outlineLevel="0" max="3" min="3" style="1" width="14"/>
    <col collapsed="false" customWidth="true" hidden="false" outlineLevel="0" max="4" min="4" style="1" width="13"/>
    <col collapsed="false" customWidth="true" hidden="false" outlineLevel="0" max="6" min="5" style="1" width="14"/>
    <col collapsed="false" customWidth="true" hidden="false" outlineLevel="0" max="8" min="7" style="1" width="13"/>
    <col collapsed="false" customWidth="true" hidden="false" outlineLevel="0" max="9" min="9" style="1" width="22"/>
  </cols>
  <sheetData>
    <row r="1" customFormat="false" ht="36" hidden="false" customHeight="true" outlineLevel="0" collapsed="false">
      <c r="B1" s="13" t="s">
        <v>18</v>
      </c>
      <c r="C1" s="13"/>
      <c r="D1" s="13"/>
      <c r="E1" s="13"/>
      <c r="F1" s="13"/>
      <c r="G1" s="13"/>
      <c r="H1" s="13"/>
      <c r="I1" s="13"/>
    </row>
    <row r="2" customFormat="false" ht="3" hidden="false" customHeight="true" outlineLevel="0" collapsed="false">
      <c r="B2" s="4"/>
      <c r="C2" s="4"/>
      <c r="D2" s="4"/>
      <c r="E2" s="4"/>
      <c r="F2" s="4"/>
      <c r="G2" s="4"/>
      <c r="H2" s="4"/>
      <c r="I2" s="4"/>
    </row>
    <row r="3" customFormat="false" ht="13.5" hidden="false" customHeight="true" outlineLevel="0" collapsed="false">
      <c r="B3" s="14" t="s">
        <v>19</v>
      </c>
      <c r="C3" s="14"/>
      <c r="D3" s="14"/>
      <c r="E3" s="14"/>
      <c r="F3" s="14"/>
      <c r="G3" s="14"/>
      <c r="H3" s="14"/>
      <c r="I3" s="14"/>
    </row>
    <row r="4" customFormat="false" ht="4.5" hidden="false" customHeight="true" outlineLevel="0" collapsed="false"/>
    <row r="5" customFormat="false" ht="19.5" hidden="false" customHeight="true" outlineLevel="0" collapsed="false">
      <c r="B5" s="15" t="s">
        <v>20</v>
      </c>
      <c r="C5" s="15"/>
      <c r="D5" s="15"/>
      <c r="E5" s="15"/>
      <c r="F5" s="15"/>
      <c r="G5" s="15"/>
      <c r="H5" s="15"/>
      <c r="I5" s="15"/>
    </row>
    <row r="6" customFormat="false" ht="15.75" hidden="false" customHeight="true" outlineLevel="0" collapsed="false">
      <c r="B6" s="16" t="s">
        <v>21</v>
      </c>
      <c r="C6" s="16" t="s">
        <v>22</v>
      </c>
      <c r="D6" s="16" t="s">
        <v>23</v>
      </c>
      <c r="E6" s="16" t="s">
        <v>24</v>
      </c>
      <c r="F6" s="16" t="s">
        <v>25</v>
      </c>
      <c r="G6" s="16"/>
      <c r="H6" s="16"/>
      <c r="I6" s="16"/>
    </row>
    <row r="7" customFormat="false" ht="18" hidden="false" customHeight="true" outlineLevel="0" collapsed="false">
      <c r="B7" s="17" t="s">
        <v>26</v>
      </c>
      <c r="C7" s="18" t="n">
        <v>30000</v>
      </c>
      <c r="D7" s="19" t="n">
        <v>85</v>
      </c>
      <c r="E7" s="19" t="n">
        <v>60</v>
      </c>
      <c r="F7" s="20" t="s">
        <v>27</v>
      </c>
      <c r="G7" s="20"/>
      <c r="H7" s="20"/>
      <c r="I7" s="20"/>
    </row>
    <row r="8" customFormat="false" ht="18" hidden="false" customHeight="true" outlineLevel="0" collapsed="false">
      <c r="B8" s="17" t="s">
        <v>28</v>
      </c>
      <c r="C8" s="18" t="n">
        <v>10000</v>
      </c>
      <c r="D8" s="19" t="n">
        <v>82</v>
      </c>
      <c r="E8" s="19" t="n">
        <v>40</v>
      </c>
      <c r="F8" s="21" t="s">
        <v>29</v>
      </c>
      <c r="G8" s="21"/>
      <c r="H8" s="21"/>
      <c r="I8" s="21"/>
    </row>
    <row r="9" customFormat="false" ht="18" hidden="false" customHeight="true" outlineLevel="0" collapsed="false">
      <c r="B9" s="17"/>
      <c r="C9" s="18"/>
      <c r="D9" s="19"/>
      <c r="E9" s="19"/>
      <c r="F9" s="20"/>
      <c r="G9" s="20"/>
      <c r="H9" s="20"/>
      <c r="I9" s="20"/>
    </row>
    <row r="10" customFormat="false" ht="18" hidden="false" customHeight="true" outlineLevel="0" collapsed="false">
      <c r="B10" s="17"/>
      <c r="C10" s="18"/>
      <c r="D10" s="19"/>
      <c r="E10" s="19"/>
      <c r="F10" s="21"/>
      <c r="G10" s="21"/>
      <c r="H10" s="21"/>
      <c r="I10" s="21"/>
    </row>
    <row r="11" customFormat="false" ht="18" hidden="false" customHeight="true" outlineLevel="0" collapsed="false">
      <c r="B11" s="17"/>
      <c r="C11" s="18"/>
      <c r="D11" s="19"/>
      <c r="E11" s="19"/>
      <c r="F11" s="20"/>
      <c r="G11" s="20"/>
      <c r="H11" s="20"/>
      <c r="I11" s="20"/>
    </row>
    <row r="12" customFormat="false" ht="15.75" hidden="false" customHeight="true" outlineLevel="0" collapsed="false">
      <c r="B12" s="22" t="s">
        <v>30</v>
      </c>
      <c r="C12" s="22"/>
      <c r="D12" s="22"/>
      <c r="E12" s="23" t="n">
        <f aca="false">SUM(E7:E11)</f>
        <v>100</v>
      </c>
      <c r="F12" s="24" t="str">
        <f aca="false">IF(SUM(E7:E11)=100,"OK — shares sum to 100%","WARNING: shares sum to "&amp;TEXT(SUM(E7:E11),"0")&amp;"%, must equal 100%")</f>
        <v>OK — shares sum to 100%</v>
      </c>
      <c r="G12" s="24"/>
      <c r="H12" s="24"/>
      <c r="I12" s="24"/>
    </row>
    <row r="13" customFormat="false" ht="18" hidden="false" customHeight="true" outlineLevel="0" collapsed="false">
      <c r="B13" s="11" t="s">
        <v>31</v>
      </c>
      <c r="C13" s="25" t="n">
        <v>80</v>
      </c>
      <c r="D13" s="26" t="s">
        <v>32</v>
      </c>
      <c r="E13" s="20" t="s">
        <v>33</v>
      </c>
      <c r="F13" s="20"/>
      <c r="G13" s="20"/>
      <c r="H13" s="20"/>
      <c r="I13" s="20"/>
    </row>
    <row r="14" customFormat="false" ht="18" hidden="false" customHeight="true" outlineLevel="0" collapsed="false">
      <c r="B14" s="11" t="s">
        <v>34</v>
      </c>
      <c r="C14" s="25" t="n">
        <v>98</v>
      </c>
      <c r="D14" s="26" t="s">
        <v>32</v>
      </c>
      <c r="E14" s="20" t="s">
        <v>35</v>
      </c>
      <c r="F14" s="20"/>
      <c r="G14" s="20"/>
      <c r="H14" s="20"/>
      <c r="I14" s="20"/>
    </row>
    <row r="15" customFormat="false" ht="4.5" hidden="false" customHeight="true" outlineLevel="0" collapsed="false"/>
    <row r="16" customFormat="false" ht="19.5" hidden="false" customHeight="true" outlineLevel="0" collapsed="false">
      <c r="B16" s="15" t="s">
        <v>36</v>
      </c>
      <c r="C16" s="15"/>
      <c r="D16" s="15"/>
      <c r="E16" s="15"/>
      <c r="F16" s="15"/>
      <c r="G16" s="15"/>
      <c r="H16" s="15"/>
      <c r="I16" s="15"/>
    </row>
    <row r="17" customFormat="false" ht="18" hidden="false" customHeight="true" outlineLevel="0" collapsed="false">
      <c r="B17" s="11" t="s">
        <v>37</v>
      </c>
      <c r="C17" s="25" t="n">
        <v>250</v>
      </c>
      <c r="D17" s="26" t="s">
        <v>38</v>
      </c>
      <c r="E17" s="20" t="s">
        <v>39</v>
      </c>
      <c r="F17" s="20"/>
      <c r="G17" s="20"/>
      <c r="H17" s="20"/>
      <c r="I17" s="20"/>
    </row>
    <row r="18" customFormat="false" ht="18" hidden="false" customHeight="true" outlineLevel="0" collapsed="false">
      <c r="B18" s="11" t="s">
        <v>40</v>
      </c>
      <c r="C18" s="25" t="n">
        <v>270</v>
      </c>
      <c r="D18" s="26" t="s">
        <v>41</v>
      </c>
      <c r="E18" s="20" t="s">
        <v>42</v>
      </c>
      <c r="F18" s="20"/>
      <c r="G18" s="20"/>
      <c r="H18" s="20"/>
      <c r="I18" s="20"/>
    </row>
    <row r="19" customFormat="false" ht="18" hidden="false" customHeight="true" outlineLevel="0" collapsed="false">
      <c r="B19" s="11" t="s">
        <v>43</v>
      </c>
      <c r="C19" s="25" t="n">
        <v>90</v>
      </c>
      <c r="D19" s="26" t="s">
        <v>32</v>
      </c>
      <c r="E19" s="20" t="s">
        <v>44</v>
      </c>
      <c r="F19" s="20"/>
      <c r="G19" s="20"/>
      <c r="H19" s="20"/>
      <c r="I19" s="20"/>
    </row>
    <row r="20" customFormat="false" ht="4.5" hidden="false" customHeight="true" outlineLevel="0" collapsed="false"/>
    <row r="21" customFormat="false" ht="19.5" hidden="false" customHeight="true" outlineLevel="0" collapsed="false">
      <c r="B21" s="15" t="s">
        <v>45</v>
      </c>
      <c r="C21" s="15"/>
      <c r="D21" s="15"/>
      <c r="E21" s="15"/>
      <c r="F21" s="15"/>
      <c r="G21" s="15"/>
      <c r="H21" s="15"/>
      <c r="I21" s="15"/>
    </row>
    <row r="22" customFormat="false" ht="18" hidden="false" customHeight="true" outlineLevel="0" collapsed="false">
      <c r="B22" s="11" t="s">
        <v>46</v>
      </c>
      <c r="C22" s="25" t="n">
        <v>4</v>
      </c>
      <c r="D22" s="26" t="s">
        <v>47</v>
      </c>
      <c r="E22" s="20" t="s">
        <v>48</v>
      </c>
      <c r="F22" s="20"/>
      <c r="G22" s="20"/>
      <c r="H22" s="20"/>
      <c r="I22" s="20"/>
    </row>
    <row r="23" customFormat="false" ht="18" hidden="false" customHeight="true" outlineLevel="0" collapsed="false">
      <c r="B23" s="11" t="s">
        <v>49</v>
      </c>
      <c r="C23" s="25" t="n">
        <v>90</v>
      </c>
      <c r="D23" s="26" t="s">
        <v>50</v>
      </c>
      <c r="E23" s="20" t="s">
        <v>51</v>
      </c>
      <c r="F23" s="20"/>
      <c r="G23" s="20"/>
      <c r="H23" s="20"/>
      <c r="I23" s="20"/>
    </row>
    <row r="24" customFormat="false" ht="18" hidden="false" customHeight="true" outlineLevel="0" collapsed="false">
      <c r="B24" s="11" t="s">
        <v>52</v>
      </c>
      <c r="C24" s="25" t="n">
        <v>20</v>
      </c>
      <c r="D24" s="26" t="s">
        <v>53</v>
      </c>
      <c r="E24" s="20" t="s">
        <v>54</v>
      </c>
      <c r="F24" s="20"/>
      <c r="G24" s="20"/>
      <c r="H24" s="20"/>
      <c r="I24" s="20"/>
    </row>
    <row r="25" customFormat="false" ht="4.5" hidden="false" customHeight="true" outlineLevel="0" collapsed="false"/>
    <row r="26" customFormat="false" ht="19.5" hidden="false" customHeight="true" outlineLevel="0" collapsed="false">
      <c r="B26" s="15" t="s">
        <v>55</v>
      </c>
      <c r="C26" s="15"/>
      <c r="D26" s="15"/>
      <c r="E26" s="15"/>
      <c r="F26" s="15"/>
      <c r="G26" s="15"/>
      <c r="H26" s="15"/>
      <c r="I26" s="15"/>
    </row>
    <row r="27" customFormat="false" ht="18" hidden="false" customHeight="true" outlineLevel="0" collapsed="false">
      <c r="B27" s="11" t="s">
        <v>56</v>
      </c>
      <c r="C27" s="25" t="n">
        <v>1</v>
      </c>
      <c r="D27" s="26" t="s">
        <v>57</v>
      </c>
      <c r="E27" s="20" t="s">
        <v>58</v>
      </c>
      <c r="F27" s="20"/>
      <c r="G27" s="20"/>
      <c r="H27" s="20"/>
      <c r="I27" s="20"/>
    </row>
    <row r="28" customFormat="false" ht="18" hidden="false" customHeight="true" outlineLevel="0" collapsed="false">
      <c r="B28" s="11" t="s">
        <v>59</v>
      </c>
      <c r="C28" s="25" t="n">
        <v>8</v>
      </c>
      <c r="D28" s="26" t="s">
        <v>60</v>
      </c>
      <c r="E28" s="20" t="s">
        <v>61</v>
      </c>
      <c r="F28" s="20"/>
      <c r="G28" s="20"/>
      <c r="H28" s="20"/>
      <c r="I28" s="20"/>
    </row>
    <row r="29" customFormat="false" ht="18" hidden="false" customHeight="true" outlineLevel="0" collapsed="false">
      <c r="B29" s="11" t="s">
        <v>62</v>
      </c>
      <c r="C29" s="25" t="n">
        <v>5</v>
      </c>
      <c r="D29" s="26" t="s">
        <v>63</v>
      </c>
      <c r="E29" s="20" t="s">
        <v>64</v>
      </c>
      <c r="F29" s="20"/>
      <c r="G29" s="20"/>
      <c r="H29" s="20"/>
      <c r="I29" s="20"/>
    </row>
    <row r="30" customFormat="false" ht="18" hidden="false" customHeight="true" outlineLevel="0" collapsed="false">
      <c r="B30" s="11" t="s">
        <v>65</v>
      </c>
      <c r="C30" s="25" t="n">
        <v>50</v>
      </c>
      <c r="D30" s="26" t="s">
        <v>66</v>
      </c>
      <c r="E30" s="20" t="s">
        <v>67</v>
      </c>
      <c r="F30" s="20"/>
      <c r="G30" s="20"/>
      <c r="H30" s="20"/>
      <c r="I30" s="20"/>
    </row>
    <row r="31" customFormat="false" ht="4.5" hidden="false" customHeight="true" outlineLevel="0" collapsed="false"/>
    <row r="32" customFormat="false" ht="19.5" hidden="false" customHeight="true" outlineLevel="0" collapsed="false">
      <c r="B32" s="15" t="s">
        <v>68</v>
      </c>
      <c r="C32" s="15"/>
      <c r="D32" s="15"/>
      <c r="E32" s="15"/>
      <c r="F32" s="15"/>
      <c r="G32" s="15"/>
      <c r="H32" s="15"/>
      <c r="I32" s="15"/>
    </row>
    <row r="33" customFormat="false" ht="27.75" hidden="false" customHeight="true" outlineLevel="0" collapsed="false">
      <c r="B33" s="27" t="s">
        <v>69</v>
      </c>
      <c r="C33" s="27" t="s">
        <v>70</v>
      </c>
      <c r="D33" s="27" t="s">
        <v>71</v>
      </c>
      <c r="E33" s="27" t="s">
        <v>72</v>
      </c>
      <c r="F33" s="27" t="s">
        <v>73</v>
      </c>
      <c r="G33" s="27" t="s">
        <v>74</v>
      </c>
      <c r="H33" s="27" t="s">
        <v>75</v>
      </c>
      <c r="I33" s="27" t="s">
        <v>76</v>
      </c>
    </row>
    <row r="34" customFormat="false" ht="18" hidden="false" customHeight="true" outlineLevel="0" collapsed="false">
      <c r="B34" s="17" t="s">
        <v>77</v>
      </c>
      <c r="C34" s="18" t="n">
        <v>10000</v>
      </c>
      <c r="D34" s="28" t="n">
        <v>0</v>
      </c>
      <c r="E34" s="19" t="n">
        <v>1</v>
      </c>
      <c r="F34" s="18" t="n">
        <v>250</v>
      </c>
      <c r="G34" s="19" t="n">
        <v>0</v>
      </c>
      <c r="H34" s="29" t="n">
        <v>20</v>
      </c>
      <c r="I34" s="20"/>
    </row>
    <row r="35" customFormat="false" ht="18" hidden="false" customHeight="true" outlineLevel="0" collapsed="false">
      <c r="B35" s="17" t="s">
        <v>78</v>
      </c>
      <c r="C35" s="18" t="n">
        <v>5000</v>
      </c>
      <c r="D35" s="28" t="n">
        <v>0</v>
      </c>
      <c r="E35" s="19" t="n">
        <v>4</v>
      </c>
      <c r="F35" s="18" t="n">
        <v>150</v>
      </c>
      <c r="G35" s="19" t="n">
        <v>0</v>
      </c>
      <c r="H35" s="29" t="n">
        <v>25</v>
      </c>
      <c r="I35" s="21" t="s">
        <v>79</v>
      </c>
    </row>
    <row r="36" customFormat="false" ht="18" hidden="false" customHeight="true" outlineLevel="0" collapsed="false">
      <c r="B36" s="17"/>
      <c r="C36" s="18"/>
      <c r="D36" s="28"/>
      <c r="E36" s="19"/>
      <c r="F36" s="18"/>
      <c r="G36" s="19"/>
      <c r="H36" s="29"/>
      <c r="I36" s="20"/>
    </row>
    <row r="37" customFormat="false" ht="18" hidden="false" customHeight="true" outlineLevel="0" collapsed="false">
      <c r="B37" s="17"/>
      <c r="C37" s="18"/>
      <c r="D37" s="28"/>
      <c r="E37" s="19"/>
      <c r="F37" s="18"/>
      <c r="G37" s="19"/>
      <c r="H37" s="29"/>
      <c r="I37" s="21"/>
    </row>
    <row r="38" customFormat="false" ht="18" hidden="false" customHeight="true" outlineLevel="0" collapsed="false">
      <c r="B38" s="17"/>
      <c r="C38" s="18"/>
      <c r="D38" s="28"/>
      <c r="E38" s="19"/>
      <c r="F38" s="18"/>
      <c r="G38" s="19"/>
      <c r="H38" s="29"/>
      <c r="I38" s="20"/>
    </row>
    <row r="39" customFormat="false" ht="18" hidden="false" customHeight="true" outlineLevel="0" collapsed="false">
      <c r="B39" s="17"/>
      <c r="C39" s="18"/>
      <c r="D39" s="28"/>
      <c r="E39" s="19"/>
      <c r="F39" s="18"/>
      <c r="G39" s="19"/>
      <c r="H39" s="29"/>
      <c r="I39" s="21"/>
    </row>
    <row r="40" customFormat="false" ht="18" hidden="false" customHeight="true" outlineLevel="0" collapsed="false">
      <c r="B40" s="17"/>
      <c r="C40" s="18"/>
      <c r="D40" s="28"/>
      <c r="E40" s="19"/>
      <c r="F40" s="18"/>
      <c r="G40" s="19"/>
      <c r="H40" s="29"/>
      <c r="I40" s="20"/>
    </row>
    <row r="41" customFormat="false" ht="18" hidden="false" customHeight="true" outlineLevel="0" collapsed="false">
      <c r="B41" s="17"/>
      <c r="C41" s="18"/>
      <c r="D41" s="28"/>
      <c r="E41" s="19"/>
      <c r="F41" s="18"/>
      <c r="G41" s="19"/>
      <c r="H41" s="29"/>
      <c r="I41" s="21"/>
    </row>
    <row r="42" customFormat="false" ht="4.5" hidden="false" customHeight="true" outlineLevel="0" collapsed="false"/>
    <row r="43" customFormat="false" ht="19.5" hidden="false" customHeight="true" outlineLevel="0" collapsed="false">
      <c r="B43" s="30" t="s">
        <v>80</v>
      </c>
      <c r="C43" s="30"/>
      <c r="D43" s="30"/>
      <c r="E43" s="30"/>
      <c r="F43" s="30"/>
      <c r="G43" s="30"/>
      <c r="H43" s="30"/>
      <c r="I43" s="30"/>
    </row>
    <row r="44" customFormat="false" ht="13.5" hidden="false" customHeight="true" outlineLevel="0" collapsed="false">
      <c r="B44" s="31" t="s">
        <v>81</v>
      </c>
      <c r="C44" s="32" t="s">
        <v>82</v>
      </c>
      <c r="D44" s="32"/>
      <c r="E44" s="32"/>
      <c r="F44" s="32"/>
      <c r="G44" s="32"/>
      <c r="H44" s="32"/>
      <c r="I44" s="32"/>
    </row>
    <row r="45" customFormat="false" ht="13.5" hidden="false" customHeight="true" outlineLevel="0" collapsed="false">
      <c r="B45" s="31" t="s">
        <v>83</v>
      </c>
      <c r="C45" s="32" t="s">
        <v>84</v>
      </c>
      <c r="D45" s="32"/>
      <c r="E45" s="32"/>
      <c r="F45" s="32"/>
      <c r="G45" s="32"/>
      <c r="H45" s="32"/>
      <c r="I45" s="32"/>
    </row>
    <row r="46" customFormat="false" ht="13.5" hidden="false" customHeight="true" outlineLevel="0" collapsed="false">
      <c r="B46" s="31" t="s">
        <v>85</v>
      </c>
      <c r="C46" s="32" t="s">
        <v>86</v>
      </c>
      <c r="D46" s="32"/>
      <c r="E46" s="32"/>
      <c r="F46" s="32"/>
      <c r="G46" s="32"/>
      <c r="H46" s="32"/>
      <c r="I46" s="32"/>
    </row>
  </sheetData>
  <mergeCells count="31">
    <mergeCell ref="B1:I1"/>
    <mergeCell ref="B3:I3"/>
    <mergeCell ref="B5:I5"/>
    <mergeCell ref="F6:I6"/>
    <mergeCell ref="F7:I7"/>
    <mergeCell ref="F8:I8"/>
    <mergeCell ref="F9:I9"/>
    <mergeCell ref="F10:I10"/>
    <mergeCell ref="F11:I11"/>
    <mergeCell ref="B12:D12"/>
    <mergeCell ref="F12:I12"/>
    <mergeCell ref="E13:I13"/>
    <mergeCell ref="E14:I14"/>
    <mergeCell ref="B16:I16"/>
    <mergeCell ref="E17:I17"/>
    <mergeCell ref="E18:I18"/>
    <mergeCell ref="E19:I19"/>
    <mergeCell ref="B21:I21"/>
    <mergeCell ref="E22:I22"/>
    <mergeCell ref="E23:I23"/>
    <mergeCell ref="E24:I24"/>
    <mergeCell ref="B26:I26"/>
    <mergeCell ref="E27:I27"/>
    <mergeCell ref="E28:I28"/>
    <mergeCell ref="E29:I29"/>
    <mergeCell ref="E30:I30"/>
    <mergeCell ref="B32:I32"/>
    <mergeCell ref="B43:I43"/>
    <mergeCell ref="C44:I44"/>
    <mergeCell ref="C45:I45"/>
    <mergeCell ref="C46:I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8C4E"/>
    <pageSetUpPr fitToPage="false"/>
  </sheetPr>
  <dimension ref="B1:V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8"/>
    <col collapsed="false" customWidth="true" hidden="false" outlineLevel="0" max="9" min="3" style="1" width="16"/>
    <col collapsed="false" customWidth="true" hidden="true" outlineLevel="0" max="22" min="11" style="1" width="16"/>
  </cols>
  <sheetData>
    <row r="1" customFormat="false" ht="36" hidden="false" customHeight="true" outlineLevel="0" collapsed="false">
      <c r="B1" s="13" t="s">
        <v>87</v>
      </c>
      <c r="C1" s="13"/>
      <c r="D1" s="13"/>
      <c r="E1" s="13"/>
      <c r="F1" s="13"/>
      <c r="G1" s="13"/>
      <c r="H1" s="13"/>
      <c r="I1" s="13"/>
    </row>
    <row r="2" customFormat="false" ht="3" hidden="false" customHeight="true" outlineLevel="0" collapsed="false">
      <c r="B2" s="4"/>
      <c r="C2" s="4"/>
      <c r="D2" s="4"/>
      <c r="E2" s="4"/>
      <c r="F2" s="4"/>
      <c r="G2" s="4"/>
      <c r="H2" s="4"/>
      <c r="I2" s="4"/>
    </row>
    <row r="3" customFormat="false" ht="13.5" hidden="false" customHeight="true" outlineLevel="0" collapsed="false">
      <c r="B3" s="12" t="s">
        <v>88</v>
      </c>
      <c r="C3" s="12"/>
      <c r="D3" s="12"/>
      <c r="E3" s="12"/>
      <c r="F3" s="12"/>
      <c r="G3" s="12"/>
      <c r="H3" s="12"/>
      <c r="I3" s="12"/>
    </row>
    <row r="4" customFormat="false" ht="4.5" hidden="false" customHeight="true" outlineLevel="0" collapsed="false"/>
    <row r="5" customFormat="false" ht="19.5" hidden="false" customHeight="true" outlineLevel="0" collapsed="false">
      <c r="B5" s="15" t="s">
        <v>89</v>
      </c>
      <c r="C5" s="15"/>
      <c r="D5" s="15"/>
      <c r="E5" s="15"/>
      <c r="F5" s="15"/>
      <c r="G5" s="15"/>
      <c r="H5" s="15"/>
      <c r="I5" s="15"/>
    </row>
    <row r="6" customFormat="false" ht="15.75" hidden="false" customHeight="true" outlineLevel="0" collapsed="false">
      <c r="B6" s="16" t="s">
        <v>90</v>
      </c>
      <c r="C6" s="16" t="s">
        <v>22</v>
      </c>
      <c r="D6" s="16" t="s">
        <v>23</v>
      </c>
      <c r="E6" s="16" t="s">
        <v>91</v>
      </c>
      <c r="F6" s="16" t="s">
        <v>24</v>
      </c>
      <c r="G6" s="16"/>
      <c r="H6" s="16"/>
      <c r="I6" s="16"/>
    </row>
    <row r="7" customFormat="false" ht="15" hidden="false" customHeight="true" outlineLevel="0" collapsed="false">
      <c r="B7" s="33" t="str">
        <f aca="false">IF(OR(INPUTS!B7="",INPUTS!C7=""),"--",INPUTS!B7)</f>
        <v>Chip Shooter</v>
      </c>
      <c r="C7" s="34" t="n">
        <f aca="false">IF(OR(INPUTS!C7="",INPUTS!C7=0),"--",INPUTS!C7)</f>
        <v>30000</v>
      </c>
      <c r="D7" s="35" t="n">
        <f aca="false">IF(OR(INPUTS!C7="",INPUTS!C7=0),"--",INPUTS!D7)</f>
        <v>85</v>
      </c>
      <c r="E7" s="34" t="n">
        <f aca="false">IF(OR(INPUTS!C7="",INPUTS!C7=0),"--",INPUTS!C7*INPUTS!D7/100)</f>
        <v>25500</v>
      </c>
      <c r="F7" s="35" t="n">
        <f aca="false">IF(OR(INPUTS!C7="",INPUTS!C7=0),"--",INPUTS!E7)</f>
        <v>60</v>
      </c>
      <c r="G7" s="35"/>
      <c r="H7" s="35"/>
      <c r="I7" s="35"/>
    </row>
    <row r="8" customFormat="false" ht="15" hidden="false" customHeight="true" outlineLevel="0" collapsed="false">
      <c r="B8" s="36" t="str">
        <f aca="false">IF(OR(INPUTS!B8="",INPUTS!C8=""),"--",INPUTS!B8)</f>
        <v>Flexible Placer</v>
      </c>
      <c r="C8" s="37" t="n">
        <f aca="false">IF(OR(INPUTS!C8="",INPUTS!C8=0),"--",INPUTS!C8)</f>
        <v>10000</v>
      </c>
      <c r="D8" s="38" t="n">
        <f aca="false">IF(OR(INPUTS!C8="",INPUTS!C8=0),"--",INPUTS!D8)</f>
        <v>82</v>
      </c>
      <c r="E8" s="37" t="n">
        <f aca="false">IF(OR(INPUTS!C8="",INPUTS!C8=0),"--",INPUTS!C8*INPUTS!D8/100)</f>
        <v>8200</v>
      </c>
      <c r="F8" s="38" t="n">
        <f aca="false">IF(OR(INPUTS!C8="",INPUTS!C8=0),"--",INPUTS!E8)</f>
        <v>40</v>
      </c>
      <c r="G8" s="38"/>
      <c r="H8" s="38"/>
      <c r="I8" s="38"/>
    </row>
    <row r="9" customFormat="false" ht="15" hidden="false" customHeight="true" outlineLevel="0" collapsed="false">
      <c r="B9" s="33" t="str">
        <f aca="false">IF(OR(INPUTS!B9="",INPUTS!C9=""),"--",INPUTS!B9)</f>
        <v>--</v>
      </c>
      <c r="C9" s="34" t="str">
        <f aca="false">IF(OR(INPUTS!C9="",INPUTS!C9=0),"--",INPUTS!C9)</f>
        <v>--</v>
      </c>
      <c r="D9" s="35" t="str">
        <f aca="false">IF(OR(INPUTS!C9="",INPUTS!C9=0),"--",INPUTS!D9)</f>
        <v>--</v>
      </c>
      <c r="E9" s="34" t="str">
        <f aca="false">IF(OR(INPUTS!C9="",INPUTS!C9=0),"--",INPUTS!C9*INPUTS!D9/100)</f>
        <v>--</v>
      </c>
      <c r="F9" s="35" t="str">
        <f aca="false">IF(OR(INPUTS!C9="",INPUTS!C9=0),"--",INPUTS!E9)</f>
        <v>--</v>
      </c>
      <c r="G9" s="35"/>
      <c r="H9" s="35"/>
      <c r="I9" s="35"/>
    </row>
    <row r="10" customFormat="false" ht="15" hidden="false" customHeight="true" outlineLevel="0" collapsed="false">
      <c r="B10" s="36" t="str">
        <f aca="false">IF(OR(INPUTS!B10="",INPUTS!C10=""),"--",INPUTS!B10)</f>
        <v>--</v>
      </c>
      <c r="C10" s="37" t="str">
        <f aca="false">IF(OR(INPUTS!C10="",INPUTS!C10=0),"--",INPUTS!C10)</f>
        <v>--</v>
      </c>
      <c r="D10" s="38" t="str">
        <f aca="false">IF(OR(INPUTS!C10="",INPUTS!C10=0),"--",INPUTS!D10)</f>
        <v>--</v>
      </c>
      <c r="E10" s="37" t="str">
        <f aca="false">IF(OR(INPUTS!C10="",INPUTS!C10=0),"--",INPUTS!C10*INPUTS!D10/100)</f>
        <v>--</v>
      </c>
      <c r="F10" s="38" t="str">
        <f aca="false">IF(OR(INPUTS!C10="",INPUTS!C10=0),"--",INPUTS!E10)</f>
        <v>--</v>
      </c>
      <c r="G10" s="38"/>
      <c r="H10" s="38"/>
      <c r="I10" s="38"/>
    </row>
    <row r="11" customFormat="false" ht="15" hidden="false" customHeight="true" outlineLevel="0" collapsed="false">
      <c r="B11" s="33" t="str">
        <f aca="false">IF(OR(INPUTS!B11="",INPUTS!C11=""),"--",INPUTS!B11)</f>
        <v>--</v>
      </c>
      <c r="C11" s="34" t="str">
        <f aca="false">IF(OR(INPUTS!C11="",INPUTS!C11=0),"--",INPUTS!C11)</f>
        <v>--</v>
      </c>
      <c r="D11" s="35" t="str">
        <f aca="false">IF(OR(INPUTS!C11="",INPUTS!C11=0),"--",INPUTS!D11)</f>
        <v>--</v>
      </c>
      <c r="E11" s="34" t="str">
        <f aca="false">IF(OR(INPUTS!C11="",INPUTS!C11=0),"--",INPUTS!C11*INPUTS!D11/100)</f>
        <v>--</v>
      </c>
      <c r="F11" s="35" t="str">
        <f aca="false">IF(OR(INPUTS!C11="",INPUTS!C11=0),"--",INPUTS!E11)</f>
        <v>--</v>
      </c>
      <c r="G11" s="35"/>
      <c r="H11" s="35"/>
      <c r="I11" s="35"/>
    </row>
    <row r="12" customFormat="false" ht="4.5" hidden="false" customHeight="true" outlineLevel="0" collapsed="false"/>
    <row r="13" customFormat="false" ht="19.5" hidden="false" customHeight="true" outlineLevel="0" collapsed="false">
      <c r="B13" s="15" t="s">
        <v>92</v>
      </c>
      <c r="C13" s="15"/>
      <c r="D13" s="15"/>
      <c r="E13" s="15"/>
      <c r="F13" s="15"/>
      <c r="G13" s="15"/>
      <c r="H13" s="15"/>
      <c r="I13" s="15"/>
    </row>
    <row r="14" customFormat="false" ht="18" hidden="false" customHeight="true" outlineLevel="0" collapsed="false">
      <c r="B14" s="11" t="s">
        <v>93</v>
      </c>
      <c r="C14" s="39" t="n">
        <f aca="false">INPUTS!C27*INPUTS!C28*INPUTS!C29</f>
        <v>40</v>
      </c>
      <c r="D14" s="26" t="s">
        <v>94</v>
      </c>
      <c r="E14" s="26"/>
      <c r="F14" s="26"/>
      <c r="G14" s="26"/>
      <c r="H14" s="26"/>
      <c r="I14" s="26"/>
    </row>
    <row r="15" customFormat="false" ht="18" hidden="false" customHeight="true" outlineLevel="0" collapsed="false">
      <c r="B15" s="11" t="s">
        <v>95</v>
      </c>
      <c r="C15" s="40" t="n">
        <f aca="false">INPUTS!C22*INPUTS!C23/60</f>
        <v>6</v>
      </c>
      <c r="D15" s="26" t="s">
        <v>94</v>
      </c>
      <c r="E15" s="26"/>
      <c r="F15" s="26"/>
      <c r="G15" s="26"/>
      <c r="H15" s="26"/>
      <c r="I15" s="26"/>
    </row>
    <row r="16" customFormat="false" ht="18" hidden="false" customHeight="true" outlineLevel="0" collapsed="false">
      <c r="B16" s="11" t="s">
        <v>96</v>
      </c>
      <c r="C16" s="40" t="n">
        <f aca="false">INPUTS!C24/60*INPUTS!C27*INPUTS!C29</f>
        <v>1.66666666666667</v>
      </c>
      <c r="D16" s="26" t="s">
        <v>94</v>
      </c>
      <c r="E16" s="26"/>
      <c r="F16" s="26"/>
      <c r="G16" s="26"/>
      <c r="H16" s="26"/>
      <c r="I16" s="26"/>
    </row>
    <row r="17" customFormat="false" ht="18" hidden="false" customHeight="true" outlineLevel="0" collapsed="false">
      <c r="B17" s="11" t="s">
        <v>97</v>
      </c>
      <c r="C17" s="41" t="n">
        <f aca="false">MAX(0,INPUTS!C27*INPUTS!C28*INPUTS!C29-INPUTS!C22*INPUTS!C23/60-INPUTS!C24/60*INPUTS!C27*INPUTS!C29)</f>
        <v>32.3333333333333</v>
      </c>
      <c r="D17" s="26" t="s">
        <v>94</v>
      </c>
      <c r="E17" s="26"/>
      <c r="F17" s="26"/>
      <c r="G17" s="26"/>
      <c r="H17" s="26"/>
      <c r="I17" s="26"/>
    </row>
    <row r="18" customFormat="false" ht="18" hidden="false" customHeight="true" outlineLevel="0" collapsed="false">
      <c r="B18" s="11" t="s">
        <v>98</v>
      </c>
      <c r="C18" s="42" t="n">
        <f aca="false">MAX(0,INPUTS!C27*INPUTS!C28*INPUTS!C29-INPUTS!C22*INPUTS!C23/60-INPUTS!C24/60*INPUTS!C27*INPUTS!C29)*INPUTS!C30</f>
        <v>1616.66666666667</v>
      </c>
      <c r="D18" s="26" t="s">
        <v>99</v>
      </c>
      <c r="E18" s="26"/>
      <c r="F18" s="26"/>
      <c r="G18" s="26"/>
      <c r="H18" s="26"/>
      <c r="I18" s="26"/>
    </row>
    <row r="19" customFormat="false" ht="4.5" hidden="false" customHeight="true" outlineLevel="0" collapsed="false"/>
    <row r="20" customFormat="false" ht="19.5" hidden="false" customHeight="true" outlineLevel="0" collapsed="false">
      <c r="B20" s="15" t="s">
        <v>100</v>
      </c>
      <c r="C20" s="15"/>
      <c r="D20" s="15"/>
      <c r="E20" s="15"/>
      <c r="F20" s="15"/>
      <c r="G20" s="15"/>
      <c r="H20" s="15"/>
      <c r="I20" s="15"/>
    </row>
    <row r="21" customFormat="false" ht="36" hidden="false" customHeight="true" outlineLevel="0" collapsed="false">
      <c r="B21" s="27" t="s">
        <v>101</v>
      </c>
      <c r="C21" s="27" t="s">
        <v>102</v>
      </c>
      <c r="D21" s="27" t="s">
        <v>103</v>
      </c>
      <c r="E21" s="27" t="s">
        <v>104</v>
      </c>
      <c r="F21" s="27" t="s">
        <v>105</v>
      </c>
      <c r="G21" s="27" t="s">
        <v>106</v>
      </c>
      <c r="H21" s="27" t="s">
        <v>107</v>
      </c>
      <c r="I21" s="27" t="s">
        <v>108</v>
      </c>
    </row>
    <row r="22" customFormat="false" ht="15" hidden="false" customHeight="true" outlineLevel="0" collapsed="false">
      <c r="B22" s="33" t="str">
        <f aca="false">IF(INPUTS!B34="","--",INPUTS!B34)</f>
        <v>Product A</v>
      </c>
      <c r="C22" s="34" t="n">
        <f aca="false">IF(OR(INPUTS!C34="",INPUTS!C34=0),0,INPUTS!C34)</f>
        <v>10000</v>
      </c>
      <c r="D22" s="43" t="n">
        <f aca="false">IF(OR(INPUTS!C34="",INPUTS!C34=0),0,P22)</f>
        <v>43.9024390243903</v>
      </c>
      <c r="E22" s="43" t="n">
        <f aca="false">IF(OR(INPUTS!C34="",INPUTS!C34=0),0,Q22)</f>
        <v>24</v>
      </c>
      <c r="F22" s="44" t="str">
        <f aca="false">IF(OR(INPUTS!C34="",INPUTS!C34=0),"--",IF(P22&gt;=Q22,"Placer","Oven"))</f>
        <v>Placer</v>
      </c>
      <c r="G22" s="43" t="n">
        <f aca="false">IF(OR(INPUTS!C34="",INPUTS!C34=0),0,T22)</f>
        <v>64.288</v>
      </c>
      <c r="H22" s="43" t="n">
        <f aca="false">U22</f>
        <v>155.550024888004</v>
      </c>
      <c r="I22" s="45" t="n">
        <f aca="false">IF(OR(C18=0,U22=0),0,U22/C18)</f>
        <v>0.0962165102400025</v>
      </c>
      <c r="K22" s="46" t="n">
        <f aca="false">IF(OR(INPUTS!C7=0,INPUTS!E7=0),0,(INPUTS!F34*INPUTS!E34*IF(INPUTS!G34=1,2,1)*INPUTS!E7/100)/(INPUTS!C7*INPUTS!D7/100)*3600)</f>
        <v>21.1764705882353</v>
      </c>
      <c r="L22" s="46" t="n">
        <f aca="false">IF(OR(INPUTS!C8=0,INPUTS!E8=0),0,(INPUTS!F34*INPUTS!E34*IF(INPUTS!G34=1,2,1)*INPUTS!E8/100)/(INPUTS!C8*INPUTS!D8/100)*3600)</f>
        <v>43.9024390243903</v>
      </c>
      <c r="M22" s="46" t="n">
        <f aca="false">IF(OR(INPUTS!C9=0,INPUTS!E9=0),0,(INPUTS!F34*INPUTS!E34*IF(INPUTS!G34=1,2,1)*INPUTS!E9/100)/(INPUTS!C9*INPUTS!D9/100)*3600)</f>
        <v>0</v>
      </c>
      <c r="N22" s="46" t="n">
        <f aca="false">IF(OR(INPUTS!C10=0,INPUTS!E10=0),0,(INPUTS!F34*INPUTS!E34*IF(INPUTS!G34=1,2,1)*INPUTS!E10/100)/(INPUTS!C10*INPUTS!D10/100)*3600)</f>
        <v>0</v>
      </c>
      <c r="O22" s="46" t="n">
        <f aca="false">IF(OR(INPUTS!C11=0,INPUTS!E11=0),0,(INPUTS!F34*INPUTS!E34*IF(INPUTS!G34=1,2,1)*INPUTS!E11/100)/(INPUTS!C11*INPUTS!D11/100)*3600)</f>
        <v>0</v>
      </c>
      <c r="P22" s="46" t="n">
        <f aca="false">MAX(K22:O22)</f>
        <v>43.9024390243903</v>
      </c>
      <c r="Q22" s="46" t="n">
        <f aca="false">IF(OR(INPUTS!H34=0,INPUTS!H34=""),0,(INPUTS!H34/(INPUTS!C19/100))/((INPUTS!C17/INPUTS!C18)*60)*60)</f>
        <v>24</v>
      </c>
      <c r="R22" s="46" t="n">
        <f aca="false">MAX(P22,Q22)</f>
        <v>43.9024390243903</v>
      </c>
      <c r="S22" s="46" t="n">
        <f aca="false">IF(R22=0,0,3600/R22*INPUTS!E34/IF(INPUTS!G34=1,2,1))</f>
        <v>82</v>
      </c>
      <c r="T22" s="46" t="n">
        <f aca="false">S22*INPUTS!C13/100*INPUTS!C14/100</f>
        <v>64.288</v>
      </c>
      <c r="U22" s="46" t="n">
        <f aca="false">IF(OR(V22=0,V22="",T22=0),0,V22/T22)</f>
        <v>155.550024888004</v>
      </c>
      <c r="V22" s="47" t="n">
        <f aca="false">INPUTS!C34</f>
        <v>10000</v>
      </c>
    </row>
    <row r="23" customFormat="false" ht="15" hidden="false" customHeight="true" outlineLevel="0" collapsed="false">
      <c r="B23" s="36" t="str">
        <f aca="false">IF(INPUTS!B35="","--",INPUTS!B35)</f>
        <v>Product B</v>
      </c>
      <c r="C23" s="37" t="n">
        <f aca="false">IF(OR(INPUTS!C35="",INPUTS!C35=0),0,INPUTS!C35)</f>
        <v>5000</v>
      </c>
      <c r="D23" s="48" t="n">
        <f aca="false">IF(OR(INPUTS!C35="",INPUTS!C35=0),0,P23)</f>
        <v>105.365853658537</v>
      </c>
      <c r="E23" s="48" t="n">
        <f aca="false">IF(OR(INPUTS!C35="",INPUTS!C35=0),0,Q23)</f>
        <v>30</v>
      </c>
      <c r="F23" s="49" t="str">
        <f aca="false">IF(OR(INPUTS!C35="",INPUTS!C35=0),"--",IF(P23&gt;=Q23,"Placer","Oven"))</f>
        <v>Placer</v>
      </c>
      <c r="G23" s="48" t="n">
        <f aca="false">IF(OR(INPUTS!C35="",INPUTS!C35=0),0,T23)</f>
        <v>107.146666666667</v>
      </c>
      <c r="H23" s="48" t="n">
        <f aca="false">U23</f>
        <v>46.6650074664012</v>
      </c>
      <c r="I23" s="50" t="n">
        <f aca="false">IF(OR(C18=0,U23=0),0,U23/C18)</f>
        <v>0.0288649530720007</v>
      </c>
      <c r="K23" s="46" t="n">
        <f aca="false">IF(OR(INPUTS!C7=0,INPUTS!E7=0),0,(INPUTS!F35*INPUTS!E35*IF(INPUTS!G35=1,2,1)*INPUTS!E7/100)/(INPUTS!C7*INPUTS!D7/100)*3600)</f>
        <v>50.8235294117647</v>
      </c>
      <c r="L23" s="46" t="n">
        <f aca="false">IF(OR(INPUTS!C8=0,INPUTS!E8=0),0,(INPUTS!F35*INPUTS!E35*IF(INPUTS!G35=1,2,1)*INPUTS!E8/100)/(INPUTS!C8*INPUTS!D8/100)*3600)</f>
        <v>105.365853658537</v>
      </c>
      <c r="M23" s="46" t="n">
        <f aca="false">IF(OR(INPUTS!C9=0,INPUTS!E9=0),0,(INPUTS!F35*INPUTS!E35*IF(INPUTS!G35=1,2,1)*INPUTS!E9/100)/(INPUTS!C9*INPUTS!D9/100)*3600)</f>
        <v>0</v>
      </c>
      <c r="N23" s="46" t="n">
        <f aca="false">IF(OR(INPUTS!C10=0,INPUTS!E10=0),0,(INPUTS!F35*INPUTS!E35*IF(INPUTS!G35=1,2,1)*INPUTS!E10/100)/(INPUTS!C10*INPUTS!D10/100)*3600)</f>
        <v>0</v>
      </c>
      <c r="O23" s="46" t="n">
        <f aca="false">IF(OR(INPUTS!C11=0,INPUTS!E11=0),0,(INPUTS!F35*INPUTS!E35*IF(INPUTS!G35=1,2,1)*INPUTS!E11/100)/(INPUTS!C11*INPUTS!D11/100)*3600)</f>
        <v>0</v>
      </c>
      <c r="P23" s="46" t="n">
        <f aca="false">MAX(K23:O23)</f>
        <v>105.365853658537</v>
      </c>
      <c r="Q23" s="46" t="n">
        <f aca="false">IF(OR(INPUTS!H35=0,INPUTS!H35=""),0,(INPUTS!H35/(INPUTS!C19/100))/((INPUTS!C17/INPUTS!C18)*60)*60)</f>
        <v>30</v>
      </c>
      <c r="R23" s="46" t="n">
        <f aca="false">MAX(P23,Q23)</f>
        <v>105.365853658537</v>
      </c>
      <c r="S23" s="46" t="n">
        <f aca="false">IF(R23=0,0,3600/R23*INPUTS!E35/IF(INPUTS!G35=1,2,1))</f>
        <v>136.666666666667</v>
      </c>
      <c r="T23" s="46" t="n">
        <f aca="false">S23*INPUTS!C13/100*INPUTS!C14/100</f>
        <v>107.146666666667</v>
      </c>
      <c r="U23" s="46" t="n">
        <f aca="false">IF(OR(V23=0,V23="",T23=0),0,V23/T23)</f>
        <v>46.6650074664012</v>
      </c>
      <c r="V23" s="47" t="n">
        <f aca="false">INPUTS!C35</f>
        <v>5000</v>
      </c>
    </row>
    <row r="24" customFormat="false" ht="15" hidden="false" customHeight="true" outlineLevel="0" collapsed="false">
      <c r="B24" s="33" t="str">
        <f aca="false">IF(INPUTS!B36="","--",INPUTS!B36)</f>
        <v>--</v>
      </c>
      <c r="C24" s="34" t="n">
        <f aca="false">IF(OR(INPUTS!C36="",INPUTS!C36=0),0,INPUTS!C36)</f>
        <v>0</v>
      </c>
      <c r="D24" s="43" t="n">
        <f aca="false">IF(OR(INPUTS!C36="",INPUTS!C36=0),0,P24)</f>
        <v>0</v>
      </c>
      <c r="E24" s="43" t="n">
        <f aca="false">IF(OR(INPUTS!C36="",INPUTS!C36=0),0,Q24)</f>
        <v>0</v>
      </c>
      <c r="F24" s="44" t="str">
        <f aca="false">IF(OR(INPUTS!C36="",INPUTS!C36=0),"--",IF(P24&gt;=Q24,"Placer","Oven"))</f>
        <v>--</v>
      </c>
      <c r="G24" s="43" t="n">
        <f aca="false">IF(OR(INPUTS!C36="",INPUTS!C36=0),0,T24)</f>
        <v>0</v>
      </c>
      <c r="H24" s="43" t="n">
        <f aca="false">U24</f>
        <v>0</v>
      </c>
      <c r="I24" s="45" t="n">
        <f aca="false">IF(OR(C18=0,U24=0),0,U24/C18)</f>
        <v>0</v>
      </c>
      <c r="K24" s="46" t="n">
        <f aca="false">IF(OR(INPUTS!C7=0,INPUTS!E7=0),0,(INPUTS!F36*INPUTS!E36*IF(INPUTS!G36=1,2,1)*INPUTS!E7/100)/(INPUTS!C7*INPUTS!D7/100)*3600)</f>
        <v>0</v>
      </c>
      <c r="L24" s="46" t="n">
        <f aca="false">IF(OR(INPUTS!C8=0,INPUTS!E8=0),0,(INPUTS!F36*INPUTS!E36*IF(INPUTS!G36=1,2,1)*INPUTS!E8/100)/(INPUTS!C8*INPUTS!D8/100)*3600)</f>
        <v>0</v>
      </c>
      <c r="M24" s="46" t="n">
        <f aca="false">IF(OR(INPUTS!C9=0,INPUTS!E9=0),0,(INPUTS!F36*INPUTS!E36*IF(INPUTS!G36=1,2,1)*INPUTS!E9/100)/(INPUTS!C9*INPUTS!D9/100)*3600)</f>
        <v>0</v>
      </c>
      <c r="N24" s="46" t="n">
        <f aca="false">IF(OR(INPUTS!C10=0,INPUTS!E10=0),0,(INPUTS!F36*INPUTS!E36*IF(INPUTS!G36=1,2,1)*INPUTS!E10/100)/(INPUTS!C10*INPUTS!D10/100)*3600)</f>
        <v>0</v>
      </c>
      <c r="O24" s="46" t="n">
        <f aca="false">IF(OR(INPUTS!C11=0,INPUTS!E11=0),0,(INPUTS!F36*INPUTS!E36*IF(INPUTS!G36=1,2,1)*INPUTS!E11/100)/(INPUTS!C11*INPUTS!D11/100)*3600)</f>
        <v>0</v>
      </c>
      <c r="P24" s="46" t="n">
        <f aca="false">MAX(K24:O24)</f>
        <v>0</v>
      </c>
      <c r="Q24" s="46" t="n">
        <f aca="false">IF(OR(INPUTS!H36=0,INPUTS!H36=""),0,(INPUTS!H36/(INPUTS!C19/100))/((INPUTS!C17/INPUTS!C18)*60)*60)</f>
        <v>0</v>
      </c>
      <c r="R24" s="46" t="n">
        <f aca="false">MAX(P24,Q24)</f>
        <v>0</v>
      </c>
      <c r="S24" s="46" t="n">
        <f aca="false">IF(R24=0,0,3600/R24*INPUTS!E36/IF(INPUTS!G36=1,2,1))</f>
        <v>0</v>
      </c>
      <c r="T24" s="46" t="n">
        <f aca="false">S24*INPUTS!C13/100*INPUTS!C14/100</f>
        <v>0</v>
      </c>
      <c r="U24" s="46" t="n">
        <f aca="false">IF(OR(V24=0,V24="",T24=0),0,V24/T24)</f>
        <v>0</v>
      </c>
      <c r="V24" s="47" t="n">
        <f aca="false">INPUTS!C36</f>
        <v>0</v>
      </c>
    </row>
    <row r="25" customFormat="false" ht="15" hidden="false" customHeight="true" outlineLevel="0" collapsed="false">
      <c r="B25" s="36" t="str">
        <f aca="false">IF(INPUTS!B37="","--",INPUTS!B37)</f>
        <v>--</v>
      </c>
      <c r="C25" s="37" t="n">
        <f aca="false">IF(OR(INPUTS!C37="",INPUTS!C37=0),0,INPUTS!C37)</f>
        <v>0</v>
      </c>
      <c r="D25" s="48" t="n">
        <f aca="false">IF(OR(INPUTS!C37="",INPUTS!C37=0),0,P25)</f>
        <v>0</v>
      </c>
      <c r="E25" s="48" t="n">
        <f aca="false">IF(OR(INPUTS!C37="",INPUTS!C37=0),0,Q25)</f>
        <v>0</v>
      </c>
      <c r="F25" s="49" t="str">
        <f aca="false">IF(OR(INPUTS!C37="",INPUTS!C37=0),"--",IF(P25&gt;=Q25,"Placer","Oven"))</f>
        <v>--</v>
      </c>
      <c r="G25" s="48" t="n">
        <f aca="false">IF(OR(INPUTS!C37="",INPUTS!C37=0),0,T25)</f>
        <v>0</v>
      </c>
      <c r="H25" s="48" t="n">
        <f aca="false">U25</f>
        <v>0</v>
      </c>
      <c r="I25" s="50" t="n">
        <f aca="false">IF(OR(C18=0,U25=0),0,U25/C18)</f>
        <v>0</v>
      </c>
      <c r="K25" s="46" t="n">
        <f aca="false">IF(OR(INPUTS!C7=0,INPUTS!E7=0),0,(INPUTS!F37*INPUTS!E37*IF(INPUTS!G37=1,2,1)*INPUTS!E7/100)/(INPUTS!C7*INPUTS!D7/100)*3600)</f>
        <v>0</v>
      </c>
      <c r="L25" s="46" t="n">
        <f aca="false">IF(OR(INPUTS!C8=0,INPUTS!E8=0),0,(INPUTS!F37*INPUTS!E37*IF(INPUTS!G37=1,2,1)*INPUTS!E8/100)/(INPUTS!C8*INPUTS!D8/100)*3600)</f>
        <v>0</v>
      </c>
      <c r="M25" s="46" t="n">
        <f aca="false">IF(OR(INPUTS!C9=0,INPUTS!E9=0),0,(INPUTS!F37*INPUTS!E37*IF(INPUTS!G37=1,2,1)*INPUTS!E9/100)/(INPUTS!C9*INPUTS!D9/100)*3600)</f>
        <v>0</v>
      </c>
      <c r="N25" s="46" t="n">
        <f aca="false">IF(OR(INPUTS!C10=0,INPUTS!E10=0),0,(INPUTS!F37*INPUTS!E37*IF(INPUTS!G37=1,2,1)*INPUTS!E10/100)/(INPUTS!C10*INPUTS!D10/100)*3600)</f>
        <v>0</v>
      </c>
      <c r="O25" s="46" t="n">
        <f aca="false">IF(OR(INPUTS!C11=0,INPUTS!E11=0),0,(INPUTS!F37*INPUTS!E37*IF(INPUTS!G37=1,2,1)*INPUTS!E11/100)/(INPUTS!C11*INPUTS!D11/100)*3600)</f>
        <v>0</v>
      </c>
      <c r="P25" s="46" t="n">
        <f aca="false">MAX(K25:O25)</f>
        <v>0</v>
      </c>
      <c r="Q25" s="46" t="n">
        <f aca="false">IF(OR(INPUTS!H37=0,INPUTS!H37=""),0,(INPUTS!H37/(INPUTS!C19/100))/((INPUTS!C17/INPUTS!C18)*60)*60)</f>
        <v>0</v>
      </c>
      <c r="R25" s="46" t="n">
        <f aca="false">MAX(P25,Q25)</f>
        <v>0</v>
      </c>
      <c r="S25" s="46" t="n">
        <f aca="false">IF(R25=0,0,3600/R25*INPUTS!E37/IF(INPUTS!G37=1,2,1))</f>
        <v>0</v>
      </c>
      <c r="T25" s="46" t="n">
        <f aca="false">S25*INPUTS!C13/100*INPUTS!C14/100</f>
        <v>0</v>
      </c>
      <c r="U25" s="46" t="n">
        <f aca="false">IF(OR(V25=0,V25="",T25=0),0,V25/T25)</f>
        <v>0</v>
      </c>
      <c r="V25" s="47" t="n">
        <f aca="false">INPUTS!C37</f>
        <v>0</v>
      </c>
    </row>
    <row r="26" customFormat="false" ht="15" hidden="false" customHeight="true" outlineLevel="0" collapsed="false">
      <c r="B26" s="33" t="str">
        <f aca="false">IF(INPUTS!B38="","--",INPUTS!B38)</f>
        <v>--</v>
      </c>
      <c r="C26" s="34" t="n">
        <f aca="false">IF(OR(INPUTS!C38="",INPUTS!C38=0),0,INPUTS!C38)</f>
        <v>0</v>
      </c>
      <c r="D26" s="43" t="n">
        <f aca="false">IF(OR(INPUTS!C38="",INPUTS!C38=0),0,P26)</f>
        <v>0</v>
      </c>
      <c r="E26" s="43" t="n">
        <f aca="false">IF(OR(INPUTS!C38="",INPUTS!C38=0),0,Q26)</f>
        <v>0</v>
      </c>
      <c r="F26" s="44" t="str">
        <f aca="false">IF(OR(INPUTS!C38="",INPUTS!C38=0),"--",IF(P26&gt;=Q26,"Placer","Oven"))</f>
        <v>--</v>
      </c>
      <c r="G26" s="43" t="n">
        <f aca="false">IF(OR(INPUTS!C38="",INPUTS!C38=0),0,T26)</f>
        <v>0</v>
      </c>
      <c r="H26" s="43" t="n">
        <f aca="false">U26</f>
        <v>0</v>
      </c>
      <c r="I26" s="45" t="n">
        <f aca="false">IF(OR(C18=0,U26=0),0,U26/C18)</f>
        <v>0</v>
      </c>
      <c r="K26" s="46" t="n">
        <f aca="false">IF(OR(INPUTS!C7=0,INPUTS!E7=0),0,(INPUTS!F38*INPUTS!E38*IF(INPUTS!G38=1,2,1)*INPUTS!E7/100)/(INPUTS!C7*INPUTS!D7/100)*3600)</f>
        <v>0</v>
      </c>
      <c r="L26" s="46" t="n">
        <f aca="false">IF(OR(INPUTS!C8=0,INPUTS!E8=0),0,(INPUTS!F38*INPUTS!E38*IF(INPUTS!G38=1,2,1)*INPUTS!E8/100)/(INPUTS!C8*INPUTS!D8/100)*3600)</f>
        <v>0</v>
      </c>
      <c r="M26" s="46" t="n">
        <f aca="false">IF(OR(INPUTS!C9=0,INPUTS!E9=0),0,(INPUTS!F38*INPUTS!E38*IF(INPUTS!G38=1,2,1)*INPUTS!E9/100)/(INPUTS!C9*INPUTS!D9/100)*3600)</f>
        <v>0</v>
      </c>
      <c r="N26" s="46" t="n">
        <f aca="false">IF(OR(INPUTS!C10=0,INPUTS!E10=0),0,(INPUTS!F38*INPUTS!E38*IF(INPUTS!G38=1,2,1)*INPUTS!E10/100)/(INPUTS!C10*INPUTS!D10/100)*3600)</f>
        <v>0</v>
      </c>
      <c r="O26" s="46" t="n">
        <f aca="false">IF(OR(INPUTS!C11=0,INPUTS!E11=0),0,(INPUTS!F38*INPUTS!E38*IF(INPUTS!G38=1,2,1)*INPUTS!E11/100)/(INPUTS!C11*INPUTS!D11/100)*3600)</f>
        <v>0</v>
      </c>
      <c r="P26" s="46" t="n">
        <f aca="false">MAX(K26:O26)</f>
        <v>0</v>
      </c>
      <c r="Q26" s="46" t="n">
        <f aca="false">IF(OR(INPUTS!H38=0,INPUTS!H38=""),0,(INPUTS!H38/(INPUTS!C19/100))/((INPUTS!C17/INPUTS!C18)*60)*60)</f>
        <v>0</v>
      </c>
      <c r="R26" s="46" t="n">
        <f aca="false">MAX(P26,Q26)</f>
        <v>0</v>
      </c>
      <c r="S26" s="46" t="n">
        <f aca="false">IF(R26=0,0,3600/R26*INPUTS!E38/IF(INPUTS!G38=1,2,1))</f>
        <v>0</v>
      </c>
      <c r="T26" s="46" t="n">
        <f aca="false">S26*INPUTS!C13/100*INPUTS!C14/100</f>
        <v>0</v>
      </c>
      <c r="U26" s="46" t="n">
        <f aca="false">IF(OR(V26=0,V26="",T26=0),0,V26/T26)</f>
        <v>0</v>
      </c>
      <c r="V26" s="47" t="n">
        <f aca="false">INPUTS!C38</f>
        <v>0</v>
      </c>
    </row>
    <row r="27" customFormat="false" ht="15" hidden="false" customHeight="true" outlineLevel="0" collapsed="false">
      <c r="B27" s="36" t="str">
        <f aca="false">IF(INPUTS!B39="","--",INPUTS!B39)</f>
        <v>--</v>
      </c>
      <c r="C27" s="37" t="n">
        <f aca="false">IF(OR(INPUTS!C39="",INPUTS!C39=0),0,INPUTS!C39)</f>
        <v>0</v>
      </c>
      <c r="D27" s="48" t="n">
        <f aca="false">IF(OR(INPUTS!C39="",INPUTS!C39=0),0,P27)</f>
        <v>0</v>
      </c>
      <c r="E27" s="48" t="n">
        <f aca="false">IF(OR(INPUTS!C39="",INPUTS!C39=0),0,Q27)</f>
        <v>0</v>
      </c>
      <c r="F27" s="49" t="str">
        <f aca="false">IF(OR(INPUTS!C39="",INPUTS!C39=0),"--",IF(P27&gt;=Q27,"Placer","Oven"))</f>
        <v>--</v>
      </c>
      <c r="G27" s="48" t="n">
        <f aca="false">IF(OR(INPUTS!C39="",INPUTS!C39=0),0,T27)</f>
        <v>0</v>
      </c>
      <c r="H27" s="48" t="n">
        <f aca="false">U27</f>
        <v>0</v>
      </c>
      <c r="I27" s="50" t="n">
        <f aca="false">IF(OR(C18=0,U27=0),0,U27/C18)</f>
        <v>0</v>
      </c>
      <c r="K27" s="46" t="n">
        <f aca="false">IF(OR(INPUTS!C7=0,INPUTS!E7=0),0,(INPUTS!F39*INPUTS!E39*IF(INPUTS!G39=1,2,1)*INPUTS!E7/100)/(INPUTS!C7*INPUTS!D7/100)*3600)</f>
        <v>0</v>
      </c>
      <c r="L27" s="46" t="n">
        <f aca="false">IF(OR(INPUTS!C8=0,INPUTS!E8=0),0,(INPUTS!F39*INPUTS!E39*IF(INPUTS!G39=1,2,1)*INPUTS!E8/100)/(INPUTS!C8*INPUTS!D8/100)*3600)</f>
        <v>0</v>
      </c>
      <c r="M27" s="46" t="n">
        <f aca="false">IF(OR(INPUTS!C9=0,INPUTS!E9=0),0,(INPUTS!F39*INPUTS!E39*IF(INPUTS!G39=1,2,1)*INPUTS!E9/100)/(INPUTS!C9*INPUTS!D9/100)*3600)</f>
        <v>0</v>
      </c>
      <c r="N27" s="46" t="n">
        <f aca="false">IF(OR(INPUTS!C10=0,INPUTS!E10=0),0,(INPUTS!F39*INPUTS!E39*IF(INPUTS!G39=1,2,1)*INPUTS!E10/100)/(INPUTS!C10*INPUTS!D10/100)*3600)</f>
        <v>0</v>
      </c>
      <c r="O27" s="46" t="n">
        <f aca="false">IF(OR(INPUTS!C11=0,INPUTS!E11=0),0,(INPUTS!F39*INPUTS!E39*IF(INPUTS!G39=1,2,1)*INPUTS!E11/100)/(INPUTS!C11*INPUTS!D11/100)*3600)</f>
        <v>0</v>
      </c>
      <c r="P27" s="46" t="n">
        <f aca="false">MAX(K27:O27)</f>
        <v>0</v>
      </c>
      <c r="Q27" s="46" t="n">
        <f aca="false">IF(OR(INPUTS!H39=0,INPUTS!H39=""),0,(INPUTS!H39/(INPUTS!C19/100))/((INPUTS!C17/INPUTS!C18)*60)*60)</f>
        <v>0</v>
      </c>
      <c r="R27" s="46" t="n">
        <f aca="false">MAX(P27,Q27)</f>
        <v>0</v>
      </c>
      <c r="S27" s="46" t="n">
        <f aca="false">IF(R27=0,0,3600/R27*INPUTS!E39/IF(INPUTS!G39=1,2,1))</f>
        <v>0</v>
      </c>
      <c r="T27" s="46" t="n">
        <f aca="false">S27*INPUTS!C13/100*INPUTS!C14/100</f>
        <v>0</v>
      </c>
      <c r="U27" s="46" t="n">
        <f aca="false">IF(OR(V27=0,V27="",T27=0),0,V27/T27)</f>
        <v>0</v>
      </c>
      <c r="V27" s="47" t="n">
        <f aca="false">INPUTS!C39</f>
        <v>0</v>
      </c>
    </row>
    <row r="28" customFormat="false" ht="15" hidden="false" customHeight="true" outlineLevel="0" collapsed="false">
      <c r="B28" s="33" t="str">
        <f aca="false">IF(INPUTS!B40="","--",INPUTS!B40)</f>
        <v>--</v>
      </c>
      <c r="C28" s="34" t="n">
        <f aca="false">IF(OR(INPUTS!C40="",INPUTS!C40=0),0,INPUTS!C40)</f>
        <v>0</v>
      </c>
      <c r="D28" s="43" t="n">
        <f aca="false">IF(OR(INPUTS!C40="",INPUTS!C40=0),0,P28)</f>
        <v>0</v>
      </c>
      <c r="E28" s="43" t="n">
        <f aca="false">IF(OR(INPUTS!C40="",INPUTS!C40=0),0,Q28)</f>
        <v>0</v>
      </c>
      <c r="F28" s="44" t="str">
        <f aca="false">IF(OR(INPUTS!C40="",INPUTS!C40=0),"--",IF(P28&gt;=Q28,"Placer","Oven"))</f>
        <v>--</v>
      </c>
      <c r="G28" s="43" t="n">
        <f aca="false">IF(OR(INPUTS!C40="",INPUTS!C40=0),0,T28)</f>
        <v>0</v>
      </c>
      <c r="H28" s="43" t="n">
        <f aca="false">U28</f>
        <v>0</v>
      </c>
      <c r="I28" s="45" t="n">
        <f aca="false">IF(OR(C18=0,U28=0),0,U28/C18)</f>
        <v>0</v>
      </c>
      <c r="K28" s="46" t="n">
        <f aca="false">IF(OR(INPUTS!C7=0,INPUTS!E7=0),0,(INPUTS!F40*INPUTS!E40*IF(INPUTS!G40=1,2,1)*INPUTS!E7/100)/(INPUTS!C7*INPUTS!D7/100)*3600)</f>
        <v>0</v>
      </c>
      <c r="L28" s="46" t="n">
        <f aca="false">IF(OR(INPUTS!C8=0,INPUTS!E8=0),0,(INPUTS!F40*INPUTS!E40*IF(INPUTS!G40=1,2,1)*INPUTS!E8/100)/(INPUTS!C8*INPUTS!D8/100)*3600)</f>
        <v>0</v>
      </c>
      <c r="M28" s="46" t="n">
        <f aca="false">IF(OR(INPUTS!C9=0,INPUTS!E9=0),0,(INPUTS!F40*INPUTS!E40*IF(INPUTS!G40=1,2,1)*INPUTS!E9/100)/(INPUTS!C9*INPUTS!D9/100)*3600)</f>
        <v>0</v>
      </c>
      <c r="N28" s="46" t="n">
        <f aca="false">IF(OR(INPUTS!C10=0,INPUTS!E10=0),0,(INPUTS!F40*INPUTS!E40*IF(INPUTS!G40=1,2,1)*INPUTS!E10/100)/(INPUTS!C10*INPUTS!D10/100)*3600)</f>
        <v>0</v>
      </c>
      <c r="O28" s="46" t="n">
        <f aca="false">IF(OR(INPUTS!C11=0,INPUTS!E11=0),0,(INPUTS!F40*INPUTS!E40*IF(INPUTS!G40=1,2,1)*INPUTS!E11/100)/(INPUTS!C11*INPUTS!D11/100)*3600)</f>
        <v>0</v>
      </c>
      <c r="P28" s="46" t="n">
        <f aca="false">MAX(K28:O28)</f>
        <v>0</v>
      </c>
      <c r="Q28" s="46" t="n">
        <f aca="false">IF(OR(INPUTS!H40=0,INPUTS!H40=""),0,(INPUTS!H40/(INPUTS!C19/100))/((INPUTS!C17/INPUTS!C18)*60)*60)</f>
        <v>0</v>
      </c>
      <c r="R28" s="46" t="n">
        <f aca="false">MAX(P28,Q28)</f>
        <v>0</v>
      </c>
      <c r="S28" s="46" t="n">
        <f aca="false">IF(R28=0,0,3600/R28*INPUTS!E40/IF(INPUTS!G40=1,2,1))</f>
        <v>0</v>
      </c>
      <c r="T28" s="46" t="n">
        <f aca="false">S28*INPUTS!C13/100*INPUTS!C14/100</f>
        <v>0</v>
      </c>
      <c r="U28" s="46" t="n">
        <f aca="false">IF(OR(V28=0,V28="",T28=0),0,V28/T28)</f>
        <v>0</v>
      </c>
      <c r="V28" s="47" t="n">
        <f aca="false">INPUTS!C40</f>
        <v>0</v>
      </c>
    </row>
    <row r="29" customFormat="false" ht="15" hidden="false" customHeight="true" outlineLevel="0" collapsed="false">
      <c r="B29" s="36" t="str">
        <f aca="false">IF(INPUTS!B41="","--",INPUTS!B41)</f>
        <v>--</v>
      </c>
      <c r="C29" s="37" t="n">
        <f aca="false">IF(OR(INPUTS!C41="",INPUTS!C41=0),0,INPUTS!C41)</f>
        <v>0</v>
      </c>
      <c r="D29" s="48" t="n">
        <f aca="false">IF(OR(INPUTS!C41="",INPUTS!C41=0),0,P29)</f>
        <v>0</v>
      </c>
      <c r="E29" s="48" t="n">
        <f aca="false">IF(OR(INPUTS!C41="",INPUTS!C41=0),0,Q29)</f>
        <v>0</v>
      </c>
      <c r="F29" s="49" t="str">
        <f aca="false">IF(OR(INPUTS!C41="",INPUTS!C41=0),"--",IF(P29&gt;=Q29,"Placer","Oven"))</f>
        <v>--</v>
      </c>
      <c r="G29" s="48" t="n">
        <f aca="false">IF(OR(INPUTS!C41="",INPUTS!C41=0),0,T29)</f>
        <v>0</v>
      </c>
      <c r="H29" s="48" t="n">
        <f aca="false">U29</f>
        <v>0</v>
      </c>
      <c r="I29" s="50" t="n">
        <f aca="false">IF(OR(C18=0,U29=0),0,U29/C18)</f>
        <v>0</v>
      </c>
      <c r="K29" s="46" t="n">
        <f aca="false">IF(OR(INPUTS!C7=0,INPUTS!E7=0),0,(INPUTS!F41*INPUTS!E41*IF(INPUTS!G41=1,2,1)*INPUTS!E7/100)/(INPUTS!C7*INPUTS!D7/100)*3600)</f>
        <v>0</v>
      </c>
      <c r="L29" s="46" t="n">
        <f aca="false">IF(OR(INPUTS!C8=0,INPUTS!E8=0),0,(INPUTS!F41*INPUTS!E41*IF(INPUTS!G41=1,2,1)*INPUTS!E8/100)/(INPUTS!C8*INPUTS!D8/100)*3600)</f>
        <v>0</v>
      </c>
      <c r="M29" s="46" t="n">
        <f aca="false">IF(OR(INPUTS!C9=0,INPUTS!E9=0),0,(INPUTS!F41*INPUTS!E41*IF(INPUTS!G41=1,2,1)*INPUTS!E9/100)/(INPUTS!C9*INPUTS!D9/100)*3600)</f>
        <v>0</v>
      </c>
      <c r="N29" s="46" t="n">
        <f aca="false">IF(OR(INPUTS!C10=0,INPUTS!E10=0),0,(INPUTS!F41*INPUTS!E41*IF(INPUTS!G41=1,2,1)*INPUTS!E10/100)/(INPUTS!C10*INPUTS!D10/100)*3600)</f>
        <v>0</v>
      </c>
      <c r="O29" s="46" t="n">
        <f aca="false">IF(OR(INPUTS!C11=0,INPUTS!E11=0),0,(INPUTS!F41*INPUTS!E41*IF(INPUTS!G41=1,2,1)*INPUTS!E11/100)/(INPUTS!C11*INPUTS!D11/100)*3600)</f>
        <v>0</v>
      </c>
      <c r="P29" s="46" t="n">
        <f aca="false">MAX(K29:O29)</f>
        <v>0</v>
      </c>
      <c r="Q29" s="46" t="n">
        <f aca="false">IF(OR(INPUTS!H41=0,INPUTS!H41=""),0,(INPUTS!H41/(INPUTS!C19/100))/((INPUTS!C17/INPUTS!C18)*60)*60)</f>
        <v>0</v>
      </c>
      <c r="R29" s="46" t="n">
        <f aca="false">MAX(P29,Q29)</f>
        <v>0</v>
      </c>
      <c r="S29" s="46" t="n">
        <f aca="false">IF(R29=0,0,3600/R29*INPUTS!E41/IF(INPUTS!G41=1,2,1))</f>
        <v>0</v>
      </c>
      <c r="T29" s="46" t="n">
        <f aca="false">S29*INPUTS!C13/100*INPUTS!C14/100</f>
        <v>0</v>
      </c>
      <c r="U29" s="46" t="n">
        <f aca="false">IF(OR(V29=0,V29="",T29=0),0,V29/T29)</f>
        <v>0</v>
      </c>
      <c r="V29" s="47" t="n">
        <f aca="false">INPUTS!C41</f>
        <v>0</v>
      </c>
    </row>
    <row r="30" customFormat="false" ht="18" hidden="false" customHeight="true" outlineLevel="0" collapsed="false">
      <c r="B30" s="51" t="s">
        <v>109</v>
      </c>
      <c r="C30" s="52" t="n">
        <f aca="false">SUM(C22:C29)</f>
        <v>15000</v>
      </c>
      <c r="D30" s="49"/>
      <c r="E30" s="49"/>
      <c r="F30" s="49"/>
      <c r="G30" s="49"/>
      <c r="H30" s="53" t="n">
        <f aca="false">SUM(H22:H29)</f>
        <v>202.215032354405</v>
      </c>
      <c r="I30" s="54" t="n">
        <f aca="false">SUM(I22:I29)</f>
        <v>0.125081463312003</v>
      </c>
    </row>
    <row r="31" customFormat="false" ht="4.5" hidden="false" customHeight="true" outlineLevel="0" collapsed="false"/>
    <row r="32" customFormat="false" ht="19.5" hidden="false" customHeight="true" outlineLevel="0" collapsed="false">
      <c r="B32" s="55" t="s">
        <v>110</v>
      </c>
      <c r="C32" s="55"/>
      <c r="D32" s="55"/>
      <c r="E32" s="55"/>
      <c r="F32" s="55"/>
      <c r="G32" s="55"/>
      <c r="H32" s="55"/>
      <c r="I32" s="55"/>
    </row>
    <row r="33" customFormat="false" ht="18" hidden="false" customHeight="true" outlineLevel="0" collapsed="false">
      <c r="B33" s="11" t="s">
        <v>98</v>
      </c>
      <c r="C33" s="42" t="n">
        <f aca="false">MAX(0,INPUTS!C27*INPUTS!C28*INPUTS!C29-INPUTS!C22*INPUTS!C23/60-INPUTS!C24/60*INPUTS!C27*INPUTS!C29)*INPUTS!C30</f>
        <v>1616.66666666667</v>
      </c>
      <c r="D33" s="26" t="s">
        <v>99</v>
      </c>
      <c r="E33" s="26"/>
      <c r="F33" s="26"/>
      <c r="G33" s="26"/>
      <c r="H33" s="26"/>
      <c r="I33" s="26"/>
    </row>
    <row r="34" customFormat="false" ht="18" hidden="false" customHeight="true" outlineLevel="0" collapsed="false">
      <c r="B34" s="11" t="s">
        <v>111</v>
      </c>
      <c r="C34" s="56" t="n">
        <f aca="false">SUM(H22:H29)</f>
        <v>202.215032354405</v>
      </c>
      <c r="D34" s="26" t="s">
        <v>99</v>
      </c>
      <c r="E34" s="26"/>
      <c r="F34" s="26"/>
      <c r="G34" s="26"/>
      <c r="H34" s="26"/>
      <c r="I34" s="26"/>
    </row>
    <row r="35" customFormat="false" ht="18" hidden="false" customHeight="true" outlineLevel="0" collapsed="false">
      <c r="B35" s="11" t="s">
        <v>112</v>
      </c>
      <c r="C35" s="41" t="n">
        <f aca="false">C18-SUM(H22:H29)</f>
        <v>1414.45163431226</v>
      </c>
      <c r="D35" s="26" t="s">
        <v>99</v>
      </c>
      <c r="E35" s="26"/>
      <c r="F35" s="26"/>
      <c r="G35" s="26"/>
      <c r="H35" s="26"/>
      <c r="I35" s="26"/>
    </row>
    <row r="36" customFormat="false" ht="27.75" hidden="false" customHeight="true" outlineLevel="0" collapsed="false">
      <c r="B36" s="11" t="s">
        <v>113</v>
      </c>
      <c r="C36" s="57" t="n">
        <f aca="false">IF(C18=0,0,SUM(H22:H29)/C18)</f>
        <v>0.125081463312003</v>
      </c>
      <c r="D36" s="26" t="s">
        <v>32</v>
      </c>
      <c r="E36" s="26"/>
      <c r="F36" s="26"/>
      <c r="G36" s="26"/>
      <c r="H36" s="26"/>
      <c r="I36" s="26"/>
    </row>
    <row r="37" customFormat="false" ht="4.5" hidden="false" customHeight="true" outlineLevel="0" collapsed="false"/>
    <row r="38" customFormat="false" ht="19.5" hidden="false" customHeight="true" outlineLevel="0" collapsed="false">
      <c r="B38" s="15" t="s">
        <v>114</v>
      </c>
      <c r="C38" s="15"/>
      <c r="D38" s="15"/>
      <c r="E38" s="15"/>
      <c r="F38" s="15"/>
      <c r="G38" s="15"/>
      <c r="H38" s="15"/>
      <c r="I38" s="15"/>
    </row>
    <row r="39" customFormat="false" ht="27.75" hidden="false" customHeight="true" outlineLevel="0" collapsed="false">
      <c r="B39" s="58" t="str">
        <f aca="false">IF(SUM(I22:I29)&lt;=0.7,"FEASIBLE — line has headroom ("&amp;TEXT(SUM(I22:I29),"0.0%")&amp;" utilisation)",IF(SUM(I22:I29)&lt;=0.85,"HIGH LOAD — achievable but tight ("&amp;TEXT(SUM(I22:I29),"0.0%")&amp;" utilisation). Review OEE and changeover assumptions.","OVERLOADED — "&amp;TEXT(SUM(I22:I29),"0.0%")&amp;" utilisation required. Add a shift, improve OEE, or reduce volume targets."))</f>
        <v>FEASIBLE — line has headroom (12.5% utilisation)</v>
      </c>
      <c r="C39" s="58"/>
      <c r="D39" s="58"/>
      <c r="E39" s="58"/>
      <c r="F39" s="58"/>
      <c r="G39" s="58"/>
      <c r="H39" s="58"/>
      <c r="I39" s="58"/>
    </row>
    <row r="40" customFormat="false" ht="4.5" hidden="false" customHeight="true" outlineLevel="0" collapsed="false"/>
    <row r="41" customFormat="false" ht="13.5" hidden="false" customHeight="true" outlineLevel="0" collapsed="false">
      <c r="B41" s="12" t="s">
        <v>115</v>
      </c>
      <c r="C41" s="12"/>
      <c r="D41" s="12"/>
      <c r="E41" s="12"/>
      <c r="F41" s="12"/>
      <c r="G41" s="12"/>
      <c r="H41" s="12"/>
      <c r="I41" s="12"/>
    </row>
    <row r="43" customFormat="false" ht="13.5" hidden="false" customHeight="true" outlineLevel="0" collapsed="false">
      <c r="B43" s="12" t="s">
        <v>116</v>
      </c>
      <c r="C43" s="12"/>
      <c r="D43" s="12"/>
      <c r="E43" s="12"/>
      <c r="F43" s="12"/>
      <c r="G43" s="12"/>
      <c r="H43" s="12"/>
      <c r="I43" s="12"/>
    </row>
  </sheetData>
  <mergeCells count="25">
    <mergeCell ref="B1:I1"/>
    <mergeCell ref="B3:I3"/>
    <mergeCell ref="B5:I5"/>
    <mergeCell ref="F6:I6"/>
    <mergeCell ref="F7:I7"/>
    <mergeCell ref="F8:I8"/>
    <mergeCell ref="F9:I9"/>
    <mergeCell ref="F10:I10"/>
    <mergeCell ref="F11:I11"/>
    <mergeCell ref="B13:I13"/>
    <mergeCell ref="D14:I14"/>
    <mergeCell ref="D15:I15"/>
    <mergeCell ref="D16:I16"/>
    <mergeCell ref="D17:I17"/>
    <mergeCell ref="D18:I18"/>
    <mergeCell ref="B20:I20"/>
    <mergeCell ref="B32:I32"/>
    <mergeCell ref="D33:I33"/>
    <mergeCell ref="D34:I34"/>
    <mergeCell ref="D35:I35"/>
    <mergeCell ref="D36:I36"/>
    <mergeCell ref="B38:I38"/>
    <mergeCell ref="B39:I39"/>
    <mergeCell ref="B41:I41"/>
    <mergeCell ref="B43:I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2026-03-22T16:06:50Z</dcterms:created>
  <dc:creator>openpyxl</dc:creator>
  <dc:description/>
  <dc:language>en-US</dc:language>
  <cp:lastModifiedBy/>
  <dcterms:modified xsi:type="dcterms:W3CDTF">2026-03-23T12:21:08Z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